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dervi\Desktop\Thesis Submission\data\Region\"/>
    </mc:Choice>
  </mc:AlternateContent>
  <xr:revisionPtr revIDLastSave="0" documentId="13_ncr:1_{7ED9B7C1-D66F-4EC5-B26B-8D822ECF60C7}" xr6:coauthVersionLast="47" xr6:coauthVersionMax="47" xr10:uidLastSave="{00000000-0000-0000-0000-000000000000}"/>
  <bookViews>
    <workbookView xWindow="-108" yWindow="-108" windowWidth="23256" windowHeight="12456" firstSheet="1" activeTab="2" xr2:uid="{EDCE3421-4C0D-4CAB-998C-36D256DA35B6}"/>
  </bookViews>
  <sheets>
    <sheet name="GDD" sheetId="7" r:id="rId1"/>
    <sheet name="Tart Cherry Acres Forecast" sheetId="8" r:id="rId2"/>
    <sheet name="Northwest Cost Calculation" sheetId="10" r:id="rId3"/>
    <sheet name="Southwest Cost Calculation" sheetId="9" r:id="rId4"/>
    <sheet name="West Central" sheetId="11" r:id="rId5"/>
    <sheet name="State Wide Cost" sheetId="1" r:id="rId6"/>
    <sheet name="Research Cost" sheetId="2" r:id="rId7"/>
    <sheet name="Extension Cost" sheetId="3" r:id="rId8"/>
    <sheet name="Adoption Trajectory" sheetId="4" r:id="rId9"/>
    <sheet name="Net Benefits" sheetId="5" r:id="rId10"/>
    <sheet name="Net Benefits over time" sheetId="6" r:id="rId11"/>
  </sheets>
  <externalReferences>
    <externalReference r:id="rId12"/>
    <externalReference r:id="rId1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1" l="1"/>
  <c r="K18" i="1"/>
  <c r="F26" i="4"/>
  <c r="F27" i="4"/>
  <c r="F33" i="4"/>
  <c r="F35" i="4"/>
  <c r="F37" i="4"/>
  <c r="F23" i="4"/>
  <c r="F6" i="10"/>
  <c r="F7" i="10"/>
  <c r="F8" i="10"/>
  <c r="F12" i="10"/>
  <c r="F13" i="10"/>
  <c r="F14" i="10"/>
  <c r="F16" i="10"/>
  <c r="F2" i="10"/>
  <c r="F5" i="9"/>
  <c r="F7" i="9"/>
  <c r="F8" i="9"/>
  <c r="F11" i="9"/>
  <c r="F14" i="9"/>
  <c r="F16" i="9"/>
  <c r="F2" i="9"/>
  <c r="F6" i="11"/>
  <c r="F7" i="11"/>
  <c r="F8" i="11"/>
  <c r="F13" i="11"/>
  <c r="F14" i="11"/>
  <c r="F16" i="11"/>
  <c r="F2" i="11"/>
  <c r="C23" i="4"/>
  <c r="C24" i="4" s="1"/>
  <c r="C22" i="4"/>
  <c r="D22" i="4"/>
  <c r="D23" i="4" s="1"/>
  <c r="D24" i="4" s="1"/>
  <c r="B22" i="4"/>
  <c r="B23" i="4" s="1"/>
  <c r="B15" i="4"/>
  <c r="F36" i="4" s="1"/>
  <c r="B14" i="4"/>
  <c r="B13" i="4"/>
  <c r="F13" i="9" s="1"/>
  <c r="B12" i="4"/>
  <c r="F12" i="9" s="1"/>
  <c r="B11" i="4"/>
  <c r="F11" i="10" s="1"/>
  <c r="B10" i="4"/>
  <c r="F10" i="9" s="1"/>
  <c r="B9" i="4"/>
  <c r="F9" i="11" s="1"/>
  <c r="B8" i="4"/>
  <c r="F29" i="4" s="1"/>
  <c r="B7" i="4"/>
  <c r="F28" i="4" s="1"/>
  <c r="B6" i="4"/>
  <c r="F6" i="9" s="1"/>
  <c r="B5" i="4"/>
  <c r="F5" i="10" s="1"/>
  <c r="B4" i="4"/>
  <c r="F4" i="9" s="1"/>
  <c r="B3" i="4"/>
  <c r="F24" i="4" s="1"/>
  <c r="C3" i="11"/>
  <c r="C4" i="11"/>
  <c r="C5" i="11"/>
  <c r="C6" i="11"/>
  <c r="C7" i="11"/>
  <c r="C8" i="11"/>
  <c r="C9" i="11"/>
  <c r="C10" i="11"/>
  <c r="C11" i="11"/>
  <c r="D11" i="11" s="1"/>
  <c r="E11" i="11" s="1"/>
  <c r="C12" i="11"/>
  <c r="D12" i="11" s="1"/>
  <c r="E12" i="11" s="1"/>
  <c r="C13" i="11"/>
  <c r="D13" i="11" s="1"/>
  <c r="E13" i="11" s="1"/>
  <c r="C14" i="11"/>
  <c r="D14" i="11" s="1"/>
  <c r="E14" i="11" s="1"/>
  <c r="C15" i="11"/>
  <c r="C16" i="11"/>
  <c r="C2" i="11"/>
  <c r="D2" i="11" s="1"/>
  <c r="E2" i="11" s="1"/>
  <c r="D2" i="9"/>
  <c r="C4" i="9"/>
  <c r="C5" i="9"/>
  <c r="C6" i="9"/>
  <c r="C7" i="9"/>
  <c r="C8" i="9"/>
  <c r="C9" i="9"/>
  <c r="C10" i="9"/>
  <c r="C11" i="9"/>
  <c r="C12" i="9"/>
  <c r="C13" i="9"/>
  <c r="C14" i="9"/>
  <c r="C15" i="9"/>
  <c r="C16" i="9"/>
  <c r="C3" i="9"/>
  <c r="C3" i="10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2" i="10"/>
  <c r="D6" i="11"/>
  <c r="E6" i="11" s="1"/>
  <c r="D8" i="11"/>
  <c r="E8" i="11" s="1"/>
  <c r="D9" i="11"/>
  <c r="E9" i="11" s="1"/>
  <c r="D10" i="11"/>
  <c r="E10" i="11" s="1"/>
  <c r="D16" i="11"/>
  <c r="E16" i="11" s="1"/>
  <c r="C2" i="9"/>
  <c r="H16" i="11"/>
  <c r="G16" i="11"/>
  <c r="H15" i="11"/>
  <c r="G15" i="11"/>
  <c r="D15" i="11"/>
  <c r="E15" i="11" s="1"/>
  <c r="H14" i="11"/>
  <c r="G14" i="11"/>
  <c r="H13" i="11"/>
  <c r="G13" i="11"/>
  <c r="H12" i="11"/>
  <c r="G12" i="11"/>
  <c r="H11" i="11"/>
  <c r="G11" i="11"/>
  <c r="H10" i="11"/>
  <c r="G10" i="11"/>
  <c r="H9" i="11"/>
  <c r="G9" i="11"/>
  <c r="H8" i="11"/>
  <c r="G8" i="11"/>
  <c r="H7" i="11"/>
  <c r="G7" i="11"/>
  <c r="D7" i="11"/>
  <c r="E7" i="11" s="1"/>
  <c r="J7" i="11" s="1"/>
  <c r="I8" i="1" s="1"/>
  <c r="H6" i="11"/>
  <c r="G6" i="11"/>
  <c r="H5" i="11"/>
  <c r="G5" i="11"/>
  <c r="D5" i="11"/>
  <c r="E5" i="11" s="1"/>
  <c r="H4" i="11"/>
  <c r="G4" i="11"/>
  <c r="D4" i="11"/>
  <c r="E4" i="11" s="1"/>
  <c r="J4" i="11" s="1"/>
  <c r="I5" i="1" s="1"/>
  <c r="H3" i="11"/>
  <c r="G3" i="11"/>
  <c r="D3" i="11"/>
  <c r="E3" i="11" s="1"/>
  <c r="H2" i="11"/>
  <c r="G2" i="11"/>
  <c r="J13" i="11" l="1"/>
  <c r="I14" i="1" s="1"/>
  <c r="F9" i="9"/>
  <c r="F25" i="4"/>
  <c r="F5" i="11"/>
  <c r="F4" i="11"/>
  <c r="F10" i="10"/>
  <c r="F15" i="11"/>
  <c r="F3" i="11"/>
  <c r="F9" i="10"/>
  <c r="F34" i="4"/>
  <c r="F31" i="4"/>
  <c r="F15" i="9"/>
  <c r="F30" i="4"/>
  <c r="F10" i="11"/>
  <c r="I10" i="11" s="1"/>
  <c r="H11" i="1" s="1"/>
  <c r="F4" i="10"/>
  <c r="F32" i="4"/>
  <c r="F12" i="11"/>
  <c r="F3" i="9"/>
  <c r="F11" i="11"/>
  <c r="F15" i="10"/>
  <c r="F3" i="10"/>
  <c r="B18" i="4"/>
  <c r="B24" i="4"/>
  <c r="J16" i="11"/>
  <c r="I17" i="1" s="1"/>
  <c r="J10" i="11"/>
  <c r="I11" i="1" s="1"/>
  <c r="K4" i="11"/>
  <c r="J5" i="1" s="1"/>
  <c r="K16" i="11"/>
  <c r="J17" i="1" s="1"/>
  <c r="I16" i="11"/>
  <c r="H17" i="1" s="1"/>
  <c r="I4" i="11"/>
  <c r="H5" i="1" s="1"/>
  <c r="K10" i="11"/>
  <c r="J11" i="1" s="1"/>
  <c r="I7" i="11"/>
  <c r="H8" i="1" s="1"/>
  <c r="K7" i="11"/>
  <c r="J8" i="1" s="1"/>
  <c r="K14" i="11"/>
  <c r="J15" i="1" s="1"/>
  <c r="K13" i="11"/>
  <c r="J14" i="1" s="1"/>
  <c r="I13" i="11"/>
  <c r="H14" i="1" s="1"/>
  <c r="J2" i="11"/>
  <c r="I3" i="1" s="1"/>
  <c r="I2" i="11"/>
  <c r="H3" i="1" s="1"/>
  <c r="J8" i="11"/>
  <c r="I9" i="1" s="1"/>
  <c r="I8" i="11"/>
  <c r="H9" i="1" s="1"/>
  <c r="J11" i="11"/>
  <c r="I12" i="1" s="1"/>
  <c r="I11" i="11"/>
  <c r="H12" i="1" s="1"/>
  <c r="J14" i="11"/>
  <c r="I15" i="1" s="1"/>
  <c r="I14" i="11"/>
  <c r="H15" i="1" s="1"/>
  <c r="K5" i="11"/>
  <c r="J6" i="1" s="1"/>
  <c r="K11" i="11"/>
  <c r="J12" i="1" s="1"/>
  <c r="J12" i="11"/>
  <c r="I13" i="1" s="1"/>
  <c r="K12" i="11"/>
  <c r="J13" i="1" s="1"/>
  <c r="K2" i="11"/>
  <c r="J3" i="1" s="1"/>
  <c r="K8" i="11"/>
  <c r="J9" i="1" s="1"/>
  <c r="J3" i="11"/>
  <c r="I4" i="1" s="1"/>
  <c r="K3" i="11"/>
  <c r="J4" i="1" s="1"/>
  <c r="J6" i="11"/>
  <c r="I7" i="1" s="1"/>
  <c r="K6" i="11"/>
  <c r="J7" i="1" s="1"/>
  <c r="J9" i="11"/>
  <c r="I10" i="1" s="1"/>
  <c r="K9" i="11"/>
  <c r="J10" i="1" s="1"/>
  <c r="J15" i="11"/>
  <c r="I16" i="1" s="1"/>
  <c r="K15" i="11"/>
  <c r="J16" i="1" s="1"/>
  <c r="I3" i="11"/>
  <c r="H4" i="1" s="1"/>
  <c r="I6" i="11"/>
  <c r="H7" i="1" s="1"/>
  <c r="I9" i="11"/>
  <c r="H10" i="1" s="1"/>
  <c r="I12" i="11"/>
  <c r="H13" i="1" s="1"/>
  <c r="I15" i="11"/>
  <c r="H16" i="1" s="1"/>
  <c r="J5" i="11"/>
  <c r="I6" i="1" s="1"/>
  <c r="I5" i="11"/>
  <c r="H6" i="1" s="1"/>
  <c r="K17" i="11" l="1"/>
  <c r="I17" i="11"/>
  <c r="J17" i="11"/>
  <c r="H16" i="10" l="1"/>
  <c r="G16" i="10"/>
  <c r="D16" i="10"/>
  <c r="E16" i="10" s="1"/>
  <c r="J16" i="10" s="1"/>
  <c r="C17" i="1" s="1"/>
  <c r="H15" i="10"/>
  <c r="G15" i="10"/>
  <c r="D15" i="10"/>
  <c r="E15" i="10" s="1"/>
  <c r="H14" i="10"/>
  <c r="G14" i="10"/>
  <c r="D14" i="10"/>
  <c r="E14" i="10" s="1"/>
  <c r="H13" i="10"/>
  <c r="G13" i="10"/>
  <c r="D13" i="10"/>
  <c r="E13" i="10" s="1"/>
  <c r="J13" i="10" s="1"/>
  <c r="C14" i="1" s="1"/>
  <c r="H12" i="10"/>
  <c r="G12" i="10"/>
  <c r="D12" i="10"/>
  <c r="E12" i="10" s="1"/>
  <c r="H11" i="10"/>
  <c r="G11" i="10"/>
  <c r="D11" i="10"/>
  <c r="E11" i="10" s="1"/>
  <c r="H10" i="10"/>
  <c r="G10" i="10"/>
  <c r="D10" i="10"/>
  <c r="E10" i="10" s="1"/>
  <c r="J10" i="10" s="1"/>
  <c r="C11" i="1" s="1"/>
  <c r="H9" i="10"/>
  <c r="G9" i="10"/>
  <c r="D9" i="10"/>
  <c r="E9" i="10" s="1"/>
  <c r="H8" i="10"/>
  <c r="G8" i="10"/>
  <c r="D8" i="10"/>
  <c r="E8" i="10" s="1"/>
  <c r="H7" i="10"/>
  <c r="G7" i="10"/>
  <c r="D7" i="10"/>
  <c r="E7" i="10" s="1"/>
  <c r="J7" i="10" s="1"/>
  <c r="C8" i="1" s="1"/>
  <c r="H6" i="10"/>
  <c r="G6" i="10"/>
  <c r="D6" i="10"/>
  <c r="E6" i="10" s="1"/>
  <c r="H5" i="10"/>
  <c r="G5" i="10"/>
  <c r="D5" i="10"/>
  <c r="E5" i="10" s="1"/>
  <c r="H4" i="10"/>
  <c r="G4" i="10"/>
  <c r="D4" i="10"/>
  <c r="E4" i="10" s="1"/>
  <c r="J4" i="10" s="1"/>
  <c r="C5" i="1" s="1"/>
  <c r="H3" i="10"/>
  <c r="G3" i="10"/>
  <c r="D3" i="10"/>
  <c r="E3" i="10" s="1"/>
  <c r="H2" i="10"/>
  <c r="G2" i="10"/>
  <c r="D2" i="10"/>
  <c r="E2" i="10" s="1"/>
  <c r="H16" i="9"/>
  <c r="G16" i="9"/>
  <c r="D16" i="9"/>
  <c r="E16" i="9" s="1"/>
  <c r="J16" i="9" s="1"/>
  <c r="F17" i="1" s="1"/>
  <c r="H15" i="9"/>
  <c r="G15" i="9"/>
  <c r="D15" i="9"/>
  <c r="E15" i="9" s="1"/>
  <c r="H14" i="9"/>
  <c r="G14" i="9"/>
  <c r="D14" i="9"/>
  <c r="E14" i="9" s="1"/>
  <c r="H13" i="9"/>
  <c r="G13" i="9"/>
  <c r="D13" i="9"/>
  <c r="E13" i="9" s="1"/>
  <c r="J13" i="9" s="1"/>
  <c r="F14" i="1" s="1"/>
  <c r="H12" i="9"/>
  <c r="G12" i="9"/>
  <c r="D12" i="9"/>
  <c r="E12" i="9" s="1"/>
  <c r="H11" i="9"/>
  <c r="G11" i="9"/>
  <c r="D11" i="9"/>
  <c r="E11" i="9" s="1"/>
  <c r="H10" i="9"/>
  <c r="G10" i="9"/>
  <c r="D10" i="9"/>
  <c r="E10" i="9" s="1"/>
  <c r="J10" i="9" s="1"/>
  <c r="F11" i="1" s="1"/>
  <c r="H9" i="9"/>
  <c r="G9" i="9"/>
  <c r="D9" i="9"/>
  <c r="E9" i="9" s="1"/>
  <c r="H8" i="9"/>
  <c r="G8" i="9"/>
  <c r="D8" i="9"/>
  <c r="E8" i="9" s="1"/>
  <c r="H7" i="9"/>
  <c r="G7" i="9"/>
  <c r="D7" i="9"/>
  <c r="E7" i="9" s="1"/>
  <c r="J7" i="9" s="1"/>
  <c r="F8" i="1" s="1"/>
  <c r="H6" i="9"/>
  <c r="G6" i="9"/>
  <c r="D6" i="9"/>
  <c r="E6" i="9" s="1"/>
  <c r="H5" i="9"/>
  <c r="G5" i="9"/>
  <c r="D5" i="9"/>
  <c r="E5" i="9" s="1"/>
  <c r="H4" i="9"/>
  <c r="G4" i="9"/>
  <c r="D4" i="9"/>
  <c r="E4" i="9" s="1"/>
  <c r="J4" i="9" s="1"/>
  <c r="F5" i="1" s="1"/>
  <c r="H3" i="9"/>
  <c r="G3" i="9"/>
  <c r="D3" i="9"/>
  <c r="E3" i="9" s="1"/>
  <c r="H2" i="9"/>
  <c r="G2" i="9"/>
  <c r="E2" i="9"/>
  <c r="I2" i="9" s="1"/>
  <c r="I5" i="10" l="1"/>
  <c r="B6" i="1" s="1"/>
  <c r="J5" i="10"/>
  <c r="C6" i="1" s="1"/>
  <c r="K14" i="10"/>
  <c r="D15" i="1" s="1"/>
  <c r="J6" i="10"/>
  <c r="C7" i="1" s="1"/>
  <c r="K6" i="10"/>
  <c r="D7" i="1" s="1"/>
  <c r="I9" i="10"/>
  <c r="B10" i="1" s="1"/>
  <c r="J11" i="10"/>
  <c r="C12" i="1" s="1"/>
  <c r="I11" i="10"/>
  <c r="B12" i="1" s="1"/>
  <c r="K5" i="10"/>
  <c r="D6" i="1" s="1"/>
  <c r="J9" i="10"/>
  <c r="C10" i="1" s="1"/>
  <c r="K9" i="10"/>
  <c r="D10" i="1" s="1"/>
  <c r="J15" i="10"/>
  <c r="C16" i="1" s="1"/>
  <c r="K15" i="10"/>
  <c r="D16" i="1" s="1"/>
  <c r="I3" i="10"/>
  <c r="B4" i="1" s="1"/>
  <c r="I6" i="10"/>
  <c r="B7" i="1" s="1"/>
  <c r="I12" i="10"/>
  <c r="B13" i="1" s="1"/>
  <c r="I15" i="10"/>
  <c r="B16" i="1" s="1"/>
  <c r="J12" i="10"/>
  <c r="C13" i="1" s="1"/>
  <c r="K12" i="10"/>
  <c r="D13" i="1" s="1"/>
  <c r="J8" i="10"/>
  <c r="C9" i="1" s="1"/>
  <c r="I8" i="10"/>
  <c r="B9" i="1" s="1"/>
  <c r="K11" i="10"/>
  <c r="D12" i="1" s="1"/>
  <c r="J14" i="10"/>
  <c r="C15" i="1" s="1"/>
  <c r="I14" i="10"/>
  <c r="B15" i="1" s="1"/>
  <c r="K2" i="10"/>
  <c r="D3" i="1" s="1"/>
  <c r="J3" i="10"/>
  <c r="C4" i="1" s="1"/>
  <c r="K3" i="10"/>
  <c r="D4" i="1" s="1"/>
  <c r="I4" i="10"/>
  <c r="B5" i="1" s="1"/>
  <c r="I7" i="10"/>
  <c r="B8" i="1" s="1"/>
  <c r="I10" i="10"/>
  <c r="B11" i="1" s="1"/>
  <c r="I13" i="10"/>
  <c r="B14" i="1" s="1"/>
  <c r="I16" i="10"/>
  <c r="B17" i="1" s="1"/>
  <c r="J2" i="10"/>
  <c r="C3" i="1" s="1"/>
  <c r="I2" i="10"/>
  <c r="B3" i="1" s="1"/>
  <c r="K8" i="10"/>
  <c r="D9" i="1" s="1"/>
  <c r="K4" i="10"/>
  <c r="D5" i="1" s="1"/>
  <c r="K7" i="10"/>
  <c r="D8" i="1" s="1"/>
  <c r="K10" i="10"/>
  <c r="D11" i="1" s="1"/>
  <c r="K13" i="10"/>
  <c r="D14" i="1" s="1"/>
  <c r="K16" i="10"/>
  <c r="D17" i="1" s="1"/>
  <c r="J14" i="9"/>
  <c r="F15" i="1" s="1"/>
  <c r="I14" i="9"/>
  <c r="E15" i="1" s="1"/>
  <c r="K8" i="9"/>
  <c r="G9" i="1" s="1"/>
  <c r="J9" i="9"/>
  <c r="F10" i="1" s="1"/>
  <c r="K9" i="9"/>
  <c r="G10" i="1" s="1"/>
  <c r="J2" i="9"/>
  <c r="F3" i="1" s="1"/>
  <c r="E3" i="1"/>
  <c r="K2" i="9"/>
  <c r="G3" i="1" s="1"/>
  <c r="K14" i="9"/>
  <c r="G15" i="1" s="1"/>
  <c r="J6" i="9"/>
  <c r="F7" i="1" s="1"/>
  <c r="K6" i="9"/>
  <c r="G7" i="1" s="1"/>
  <c r="J15" i="9"/>
  <c r="F16" i="1" s="1"/>
  <c r="K15" i="9"/>
  <c r="G16" i="1" s="1"/>
  <c r="I6" i="9"/>
  <c r="E7" i="1" s="1"/>
  <c r="I9" i="9"/>
  <c r="E10" i="1" s="1"/>
  <c r="I12" i="9"/>
  <c r="E13" i="1" s="1"/>
  <c r="I15" i="9"/>
  <c r="E16" i="1" s="1"/>
  <c r="J5" i="9"/>
  <c r="F6" i="1" s="1"/>
  <c r="I5" i="9"/>
  <c r="E6" i="1" s="1"/>
  <c r="K5" i="9"/>
  <c r="G6" i="1" s="1"/>
  <c r="J3" i="9"/>
  <c r="F4" i="1" s="1"/>
  <c r="K3" i="9"/>
  <c r="G4" i="1" s="1"/>
  <c r="J12" i="9"/>
  <c r="F13" i="1" s="1"/>
  <c r="K12" i="9"/>
  <c r="G13" i="1" s="1"/>
  <c r="I3" i="9"/>
  <c r="E4" i="1" s="1"/>
  <c r="J11" i="9"/>
  <c r="F12" i="1" s="1"/>
  <c r="I11" i="9"/>
  <c r="E12" i="1" s="1"/>
  <c r="K11" i="9"/>
  <c r="G12" i="1" s="1"/>
  <c r="I7" i="9"/>
  <c r="E8" i="1" s="1"/>
  <c r="I16" i="9"/>
  <c r="E17" i="1" s="1"/>
  <c r="J8" i="9"/>
  <c r="F9" i="1" s="1"/>
  <c r="I8" i="9"/>
  <c r="E9" i="1" s="1"/>
  <c r="I4" i="9"/>
  <c r="E5" i="1" s="1"/>
  <c r="I10" i="9"/>
  <c r="E11" i="1" s="1"/>
  <c r="I13" i="9"/>
  <c r="E14" i="1" s="1"/>
  <c r="K4" i="9"/>
  <c r="G5" i="1" s="1"/>
  <c r="K7" i="9"/>
  <c r="G8" i="1" s="1"/>
  <c r="K10" i="9"/>
  <c r="G11" i="1" s="1"/>
  <c r="K13" i="9"/>
  <c r="G14" i="1" s="1"/>
  <c r="K16" i="9"/>
  <c r="G17" i="1" s="1"/>
  <c r="J17" i="10" l="1"/>
  <c r="I17" i="10"/>
  <c r="K17" i="10"/>
  <c r="I17" i="9"/>
  <c r="J17" i="9"/>
  <c r="K17" i="9"/>
  <c r="E25" i="1" l="1"/>
  <c r="E24" i="1"/>
  <c r="E23" i="1"/>
  <c r="E26" i="1" s="1"/>
  <c r="F3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2" i="6"/>
  <c r="E2" i="6"/>
  <c r="D4" i="5"/>
  <c r="D3" i="5"/>
  <c r="D2" i="5"/>
  <c r="C4" i="5"/>
  <c r="C3" i="5"/>
  <c r="C2" i="5"/>
  <c r="D15" i="4"/>
  <c r="C15" i="4"/>
  <c r="D14" i="4"/>
  <c r="C14" i="4"/>
  <c r="D13" i="4"/>
  <c r="C13" i="4"/>
  <c r="D12" i="4"/>
  <c r="C12" i="4"/>
  <c r="D11" i="4"/>
  <c r="C11" i="4"/>
  <c r="D10" i="4"/>
  <c r="C10" i="4"/>
  <c r="D9" i="4"/>
  <c r="C9" i="4"/>
  <c r="D8" i="4"/>
  <c r="C8" i="4"/>
  <c r="D7" i="4"/>
  <c r="C7" i="4"/>
  <c r="D6" i="4"/>
  <c r="C6" i="4"/>
  <c r="D5" i="4"/>
  <c r="C5" i="4"/>
  <c r="D4" i="4"/>
  <c r="C4" i="4"/>
  <c r="D3" i="4"/>
  <c r="C3" i="4"/>
  <c r="O10" i="3"/>
  <c r="O9" i="3"/>
  <c r="C13" i="3"/>
  <c r="D13" i="3" s="1"/>
  <c r="E13" i="3" s="1"/>
  <c r="H13" i="3" s="1"/>
  <c r="C14" i="3"/>
  <c r="D14" i="3" s="1"/>
  <c r="E14" i="3" s="1"/>
  <c r="H14" i="3" s="1"/>
  <c r="C15" i="3"/>
  <c r="C16" i="3" s="1"/>
  <c r="D15" i="3"/>
  <c r="E15" i="3" s="1"/>
  <c r="H15" i="3" s="1"/>
  <c r="C4" i="3"/>
  <c r="D4" i="3" s="1"/>
  <c r="E4" i="3" s="1"/>
  <c r="H4" i="3" s="1"/>
  <c r="C3" i="3"/>
  <c r="D3" i="3" s="1"/>
  <c r="E3" i="3" s="1"/>
  <c r="H3" i="3" s="1"/>
  <c r="D2" i="3"/>
  <c r="E2" i="3" s="1"/>
  <c r="F10" i="2"/>
  <c r="H10" i="2" s="1"/>
  <c r="F9" i="2"/>
  <c r="H9" i="2" s="1"/>
  <c r="F8" i="2"/>
  <c r="H8" i="2" s="1"/>
  <c r="F7" i="2"/>
  <c r="H7" i="2" s="1"/>
  <c r="F6" i="2"/>
  <c r="H6" i="2" s="1"/>
  <c r="H5" i="2"/>
  <c r="F5" i="2"/>
  <c r="F4" i="2"/>
  <c r="H4" i="2" s="1"/>
  <c r="F3" i="2"/>
  <c r="H3" i="2" s="1"/>
  <c r="F2" i="2"/>
  <c r="H2" i="2" s="1"/>
  <c r="H11" i="2" s="1"/>
  <c r="K4" i="1"/>
  <c r="B3" i="6" s="1"/>
  <c r="G3" i="6" s="1"/>
  <c r="L4" i="1"/>
  <c r="C3" i="6" s="1"/>
  <c r="H3" i="6" s="1"/>
  <c r="M4" i="1"/>
  <c r="D3" i="6" s="1"/>
  <c r="I3" i="6" s="1"/>
  <c r="K5" i="1"/>
  <c r="B4" i="6" s="1"/>
  <c r="G4" i="6" s="1"/>
  <c r="L5" i="1"/>
  <c r="C4" i="6" s="1"/>
  <c r="H4" i="6" s="1"/>
  <c r="M5" i="1"/>
  <c r="D4" i="6" s="1"/>
  <c r="I4" i="6" s="1"/>
  <c r="K6" i="1"/>
  <c r="B5" i="6" s="1"/>
  <c r="G5" i="6" s="1"/>
  <c r="L6" i="1"/>
  <c r="C5" i="6" s="1"/>
  <c r="H5" i="6" s="1"/>
  <c r="M6" i="1"/>
  <c r="D5" i="6" s="1"/>
  <c r="I5" i="6" s="1"/>
  <c r="K7" i="1"/>
  <c r="B6" i="6" s="1"/>
  <c r="G6" i="6" s="1"/>
  <c r="L7" i="1"/>
  <c r="C6" i="6" s="1"/>
  <c r="H6" i="6" s="1"/>
  <c r="M7" i="1"/>
  <c r="D6" i="6" s="1"/>
  <c r="I6" i="6" s="1"/>
  <c r="K8" i="1"/>
  <c r="B7" i="6" s="1"/>
  <c r="G7" i="6" s="1"/>
  <c r="L8" i="1"/>
  <c r="C7" i="6" s="1"/>
  <c r="H7" i="6" s="1"/>
  <c r="M8" i="1"/>
  <c r="D7" i="6" s="1"/>
  <c r="I7" i="6" s="1"/>
  <c r="K9" i="1"/>
  <c r="B8" i="6" s="1"/>
  <c r="G8" i="6" s="1"/>
  <c r="L9" i="1"/>
  <c r="C8" i="6" s="1"/>
  <c r="H8" i="6" s="1"/>
  <c r="M9" i="1"/>
  <c r="D8" i="6" s="1"/>
  <c r="I8" i="6" s="1"/>
  <c r="K10" i="1"/>
  <c r="B9" i="6" s="1"/>
  <c r="G9" i="6" s="1"/>
  <c r="L10" i="1"/>
  <c r="C9" i="6" s="1"/>
  <c r="H9" i="6" s="1"/>
  <c r="M10" i="1"/>
  <c r="D9" i="6" s="1"/>
  <c r="I9" i="6" s="1"/>
  <c r="K11" i="1"/>
  <c r="B10" i="6" s="1"/>
  <c r="G10" i="6" s="1"/>
  <c r="L11" i="1"/>
  <c r="C10" i="6" s="1"/>
  <c r="H10" i="6" s="1"/>
  <c r="M11" i="1"/>
  <c r="D10" i="6" s="1"/>
  <c r="I10" i="6" s="1"/>
  <c r="K12" i="1"/>
  <c r="B11" i="6" s="1"/>
  <c r="G11" i="6" s="1"/>
  <c r="L12" i="1"/>
  <c r="C11" i="6" s="1"/>
  <c r="H11" i="6" s="1"/>
  <c r="M12" i="1"/>
  <c r="D11" i="6" s="1"/>
  <c r="I11" i="6" s="1"/>
  <c r="K13" i="1"/>
  <c r="B12" i="6" s="1"/>
  <c r="G12" i="6" s="1"/>
  <c r="L13" i="1"/>
  <c r="C12" i="6" s="1"/>
  <c r="H12" i="6" s="1"/>
  <c r="M13" i="1"/>
  <c r="D12" i="6" s="1"/>
  <c r="I12" i="6" s="1"/>
  <c r="K14" i="1"/>
  <c r="B13" i="6" s="1"/>
  <c r="G13" i="6" s="1"/>
  <c r="L14" i="1"/>
  <c r="C13" i="6" s="1"/>
  <c r="H13" i="6" s="1"/>
  <c r="M14" i="1"/>
  <c r="D13" i="6" s="1"/>
  <c r="I13" i="6" s="1"/>
  <c r="K15" i="1"/>
  <c r="B14" i="6" s="1"/>
  <c r="G14" i="6" s="1"/>
  <c r="L15" i="1"/>
  <c r="C14" i="6" s="1"/>
  <c r="H14" i="6" s="1"/>
  <c r="M15" i="1"/>
  <c r="D14" i="6" s="1"/>
  <c r="I14" i="6" s="1"/>
  <c r="K16" i="1"/>
  <c r="B15" i="6" s="1"/>
  <c r="G15" i="6" s="1"/>
  <c r="L16" i="1"/>
  <c r="C15" i="6" s="1"/>
  <c r="H15" i="6" s="1"/>
  <c r="M16" i="1"/>
  <c r="D15" i="6" s="1"/>
  <c r="I15" i="6" s="1"/>
  <c r="K17" i="1"/>
  <c r="B16" i="6" s="1"/>
  <c r="G16" i="6" s="1"/>
  <c r="L17" i="1"/>
  <c r="C16" i="6" s="1"/>
  <c r="H16" i="6" s="1"/>
  <c r="M17" i="1"/>
  <c r="D16" i="6" s="1"/>
  <c r="I16" i="6" s="1"/>
  <c r="M3" i="1"/>
  <c r="D2" i="6" s="1"/>
  <c r="I2" i="6" s="1"/>
  <c r="L3" i="1"/>
  <c r="F24" i="1"/>
  <c r="F18" i="1"/>
  <c r="G24" i="1" s="1"/>
  <c r="G18" i="1"/>
  <c r="H24" i="1" s="1"/>
  <c r="K3" i="1"/>
  <c r="J18" i="1"/>
  <c r="H25" i="1" s="1"/>
  <c r="B18" i="1"/>
  <c r="F23" i="1" s="1"/>
  <c r="C18" i="1"/>
  <c r="G23" i="1" s="1"/>
  <c r="D18" i="1"/>
  <c r="H23" i="1" s="1"/>
  <c r="H18" i="1"/>
  <c r="F25" i="1" s="1"/>
  <c r="I18" i="1"/>
  <c r="G25" i="1" s="1"/>
  <c r="B2" i="6" l="1"/>
  <c r="G2" i="6" s="1"/>
  <c r="G17" i="6" s="1"/>
  <c r="L18" i="1"/>
  <c r="B3" i="5" s="1"/>
  <c r="E3" i="5" s="1"/>
  <c r="H26" i="1"/>
  <c r="G26" i="1"/>
  <c r="F26" i="1"/>
  <c r="C2" i="6"/>
  <c r="H2" i="6" s="1"/>
  <c r="H17" i="6" s="1"/>
  <c r="M18" i="1"/>
  <c r="B4" i="5" s="1"/>
  <c r="E4" i="5" s="1"/>
  <c r="I17" i="6"/>
  <c r="D16" i="3"/>
  <c r="E16" i="3" s="1"/>
  <c r="H16" i="3" s="1"/>
  <c r="H2" i="3"/>
  <c r="C5" i="3"/>
  <c r="B2" i="5" l="1"/>
  <c r="E2" i="5" s="1"/>
  <c r="C6" i="3"/>
  <c r="D5" i="3"/>
  <c r="E5" i="3" s="1"/>
  <c r="H5" i="3" l="1"/>
  <c r="C7" i="3"/>
  <c r="D6" i="3"/>
  <c r="E6" i="3" s="1"/>
  <c r="H6" i="3" s="1"/>
  <c r="D7" i="3" l="1"/>
  <c r="E7" i="3" s="1"/>
  <c r="H7" i="3" s="1"/>
  <c r="C8" i="3"/>
  <c r="C9" i="3" l="1"/>
  <c r="D8" i="3"/>
  <c r="E8" i="3" s="1"/>
  <c r="H8" i="3" s="1"/>
  <c r="C10" i="3" l="1"/>
  <c r="D9" i="3"/>
  <c r="E9" i="3" s="1"/>
  <c r="H9" i="3" l="1"/>
  <c r="D10" i="3"/>
  <c r="E10" i="3" s="1"/>
  <c r="H10" i="3" s="1"/>
  <c r="C11" i="3"/>
  <c r="D11" i="3" l="1"/>
  <c r="E11" i="3" s="1"/>
  <c r="H11" i="3" s="1"/>
  <c r="C12" i="3"/>
  <c r="D12" i="3" s="1"/>
  <c r="E12" i="3" s="1"/>
  <c r="H12" i="3" l="1"/>
  <c r="H17" i="3" s="1"/>
</calcChain>
</file>

<file path=xl/sharedStrings.xml><?xml version="1.0" encoding="utf-8"?>
<sst xmlns="http://schemas.openxmlformats.org/spreadsheetml/2006/main" count="155" uniqueCount="102">
  <si>
    <t>Year</t>
  </si>
  <si>
    <t>No</t>
  </si>
  <si>
    <t>Project Title</t>
  </si>
  <si>
    <t>Sponsoring Agency</t>
  </si>
  <si>
    <t>Award</t>
  </si>
  <si>
    <t>Total PV at 5 %</t>
  </si>
  <si>
    <t>Proportion of tart cherries</t>
  </si>
  <si>
    <t>Total Research Cost of SWD Management in Tart Cherries</t>
  </si>
  <si>
    <t>Tree Fruit IPM/ ICM Management and Measurement Systems and Pesticide Regulatory Policy in Michigan</t>
  </si>
  <si>
    <t>NIFA</t>
  </si>
  <si>
    <t>Optimizing Protective Culture Environments for Berry Crops</t>
  </si>
  <si>
    <t>New Arthropod Pest Controls and Management Strategies for Michigan Tree Fruit Production Systems</t>
  </si>
  <si>
    <t>Holistic Integration of Organic Strategies and High Tunnels for Midwest/Great Lakes Fruit Production</t>
  </si>
  <si>
    <t>New Arthropod Pest Management Approaches and Control Tactics for Michigan Tree Fruit Production Systems</t>
  </si>
  <si>
    <t>Evaluating the Samba Wasp as a Promising New Biocontrol Agent for Spotted Wing Drosophila in Michigan Cherries</t>
  </si>
  <si>
    <t>MSU PROJECT GREEN</t>
  </si>
  <si>
    <t>Predicting the effectiveness of spotted wing drosophila biocontrol across space and time</t>
  </si>
  <si>
    <t>Testing a promising new biocontrol agent for spotted-wing drosophila in Michigan</t>
  </si>
  <si>
    <t>Training program on sampling berries for SWD to improve blueberry IPM</t>
  </si>
  <si>
    <t>Source</t>
  </si>
  <si>
    <t>https://portal.nifa.usda.gov/enterprise-search/project_details</t>
  </si>
  <si>
    <t>Number of staff</t>
  </si>
  <si>
    <t>Salaries</t>
  </si>
  <si>
    <t>Total</t>
  </si>
  <si>
    <t>Proportion of their time devoted to SWD Management</t>
  </si>
  <si>
    <t>Proportion of Tart Cherry Production (%)</t>
  </si>
  <si>
    <t>Cost of Extension</t>
  </si>
  <si>
    <t>Commodity</t>
  </si>
  <si>
    <t>ACRES BEARING</t>
  </si>
  <si>
    <t>BLUEBERRIES</t>
  </si>
  <si>
    <t xml:space="preserve">CHERRIES, SWEET </t>
  </si>
  <si>
    <t xml:space="preserve">CHERRIES, TART  </t>
  </si>
  <si>
    <t>RASPBERRIES</t>
  </si>
  <si>
    <t>STRAWBERRIES</t>
  </si>
  <si>
    <t>Low Adoption Trajectory</t>
  </si>
  <si>
    <t>Medium Adoption Trajectory</t>
  </si>
  <si>
    <t>High Adoption Trajectory</t>
  </si>
  <si>
    <t>α</t>
  </si>
  <si>
    <t>β</t>
  </si>
  <si>
    <t>A^max</t>
  </si>
  <si>
    <t>Adoption Rate</t>
  </si>
  <si>
    <t>Total Benefit from Cost Savings (2012-2022)</t>
  </si>
  <si>
    <t>Total Cost for Research</t>
  </si>
  <si>
    <t>Total Cost for Extension</t>
  </si>
  <si>
    <t>Net Benefit</t>
  </si>
  <si>
    <t>Low Adoption</t>
  </si>
  <si>
    <t>Medium Adoption</t>
  </si>
  <si>
    <t>High Adoption</t>
  </si>
  <si>
    <t>Savings Low Adoption</t>
  </si>
  <si>
    <t>Savings Medium Adoption</t>
  </si>
  <si>
    <t>Savings High Adoption</t>
  </si>
  <si>
    <t>Research Cost*</t>
  </si>
  <si>
    <t>Extension Cost</t>
  </si>
  <si>
    <t>NB Low Adoption</t>
  </si>
  <si>
    <t>NB Medium Adoption</t>
  </si>
  <si>
    <t>NB High Adoption</t>
  </si>
  <si>
    <t>GDD Threshold</t>
  </si>
  <si>
    <t>Northwest</t>
  </si>
  <si>
    <t>Southwest</t>
  </si>
  <si>
    <t>West Central</t>
  </si>
  <si>
    <t>Cost Savings from Low Adoption</t>
  </si>
  <si>
    <t>Cost Savings from Medium Adoption</t>
  </si>
  <si>
    <t>Cost Savings from High Adoption</t>
  </si>
  <si>
    <t>Region</t>
  </si>
  <si>
    <t>Acres Bearing</t>
  </si>
  <si>
    <t>Proportion</t>
  </si>
  <si>
    <t>Northeast</t>
  </si>
  <si>
    <t>Southeast</t>
  </si>
  <si>
    <t>Upper peninsula</t>
  </si>
  <si>
    <t>West central</t>
  </si>
  <si>
    <t>Tart Cherry Acrage</t>
  </si>
  <si>
    <t>GDD at First Cover  Northwest</t>
  </si>
  <si>
    <t>GDD at Second Cover Northwest</t>
  </si>
  <si>
    <t>GDD at Third Cover Northwest</t>
  </si>
  <si>
    <t>GDD at First Cover  Southwest</t>
  </si>
  <si>
    <t>GDD at Second Cover Southwest</t>
  </si>
  <si>
    <t>GDD at Third Cover Southwest</t>
  </si>
  <si>
    <t>GDD at First Cover  West Central</t>
  </si>
  <si>
    <t>GDD at Second Cover West Central</t>
  </si>
  <si>
    <t>GDD at Third Cover West Central</t>
  </si>
  <si>
    <t xml:space="preserve"> Low Adoption </t>
  </si>
  <si>
    <t>South West</t>
  </si>
  <si>
    <t>Michigan Total</t>
  </si>
  <si>
    <t xml:space="preserve"> Medium Adoption </t>
  </si>
  <si>
    <t xml:space="preserve">Low Adoption </t>
  </si>
  <si>
    <t>Tart Cherry Acrage Northwest</t>
  </si>
  <si>
    <t>Tart Cherry Acrage Southwest</t>
  </si>
  <si>
    <t>Tart Cherry Acrage West Central</t>
  </si>
  <si>
    <t>Total Unnecessary Spray Cost Per Acre</t>
  </si>
  <si>
    <t>Total Tart Cherry Acre</t>
  </si>
  <si>
    <t>Total Cost</t>
  </si>
  <si>
    <t>NPV at %5 (2022)</t>
  </si>
  <si>
    <t>Medium-Adoption</t>
  </si>
  <si>
    <t>Savings Medium Adoption_SW</t>
  </si>
  <si>
    <t>High Adoption Rates_SW</t>
  </si>
  <si>
    <t>Savings High Adoption_SW</t>
  </si>
  <si>
    <t>Savings Low Adoption_NW</t>
  </si>
  <si>
    <t>Savings Medium Adoption_NW</t>
  </si>
  <si>
    <t>Savings High Adoption_NW</t>
  </si>
  <si>
    <t>Savings Medium Adoption_WC</t>
  </si>
  <si>
    <t>High Adoption Rates_WC</t>
  </si>
  <si>
    <t>Savings High Adoption_WC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</si>
</sst>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&quot;$&quot;* #,##0_);_(&quot;$&quot;* \(#,##0\);_(&quot;$&quot;* &quot;-&quot;??_);_(@_)"/>
    <numFmt numFmtId="166" formatCode="0.0"/>
    <numFmt numFmtId="167" formatCode="_(&quot;$&quot;* #,##0.0_);_(&quot;$&quot;* \(#,##0.0\);_(&quot;$&quot;* &quot;-&quot;??_);_(@_)"/>
    <numFmt numFmtId="168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Times New Roman"/>
      <family val="1"/>
    </font>
    <font>
      <u/>
      <sz val="10"/>
      <color theme="10"/>
      <name val="Times New Roman"/>
      <family val="1"/>
    </font>
    <font>
      <sz val="10"/>
      <color theme="1"/>
      <name val="Times New Roman"/>
      <family val="1"/>
    </font>
    <font>
      <b/>
      <sz val="11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rgb="FF00000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96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0" fontId="4" fillId="0" borderId="0" xfId="0" applyFont="1"/>
    <xf numFmtId="9" fontId="4" fillId="0" borderId="0" xfId="2" applyFont="1" applyAlignment="1">
      <alignment wrapText="1"/>
    </xf>
    <xf numFmtId="0" fontId="4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5" fillId="0" borderId="0" xfId="3" applyFont="1" applyAlignment="1">
      <alignment wrapText="1"/>
    </xf>
    <xf numFmtId="0" fontId="6" fillId="0" borderId="0" xfId="0" applyFont="1"/>
    <xf numFmtId="165" fontId="6" fillId="0" borderId="0" xfId="1" applyNumberFormat="1" applyFont="1"/>
    <xf numFmtId="165" fontId="6" fillId="0" borderId="0" xfId="0" applyNumberFormat="1" applyFont="1"/>
    <xf numFmtId="9" fontId="6" fillId="0" borderId="0" xfId="2" applyFont="1"/>
    <xf numFmtId="0" fontId="6" fillId="0" borderId="0" xfId="0" applyFont="1" applyAlignment="1">
      <alignment wrapText="1"/>
    </xf>
    <xf numFmtId="165" fontId="6" fillId="0" borderId="0" xfId="1" applyNumberFormat="1" applyFont="1" applyFill="1"/>
    <xf numFmtId="9" fontId="6" fillId="0" borderId="0" xfId="2" applyFont="1" applyFill="1"/>
    <xf numFmtId="165" fontId="0" fillId="0" borderId="0" xfId="1" applyNumberFormat="1" applyFont="1"/>
    <xf numFmtId="9" fontId="0" fillId="0" borderId="0" xfId="2" applyFont="1"/>
    <xf numFmtId="165" fontId="0" fillId="0" borderId="0" xfId="0" applyNumberForma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5" fontId="6" fillId="0" borderId="0" xfId="1" applyNumberFormat="1" applyFont="1" applyAlignment="1">
      <alignment horizontal="center" vertical="center"/>
    </xf>
    <xf numFmtId="9" fontId="6" fillId="0" borderId="0" xfId="0" applyNumberFormat="1" applyFont="1" applyAlignment="1">
      <alignment horizontal="center" vertical="center"/>
    </xf>
    <xf numFmtId="3" fontId="0" fillId="0" borderId="0" xfId="0" applyNumberFormat="1"/>
    <xf numFmtId="9" fontId="0" fillId="0" borderId="0" xfId="0" applyNumberFormat="1"/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2" borderId="11" xfId="0" applyFont="1" applyFill="1" applyBorder="1" applyAlignment="1">
      <alignment vertical="center" wrapText="1"/>
    </xf>
    <xf numFmtId="6" fontId="9" fillId="2" borderId="12" xfId="0" applyNumberFormat="1" applyFont="1" applyFill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6" fontId="8" fillId="0" borderId="12" xfId="0" applyNumberFormat="1" applyFont="1" applyBorder="1" applyAlignment="1">
      <alignment horizontal="center" vertical="center" wrapText="1"/>
    </xf>
    <xf numFmtId="165" fontId="8" fillId="2" borderId="12" xfId="0" applyNumberFormat="1" applyFont="1" applyFill="1" applyBorder="1" applyAlignment="1">
      <alignment horizontal="center" vertical="center" wrapText="1"/>
    </xf>
    <xf numFmtId="165" fontId="9" fillId="2" borderId="12" xfId="0" applyNumberFormat="1" applyFont="1" applyFill="1" applyBorder="1" applyAlignment="1">
      <alignment horizontal="center" vertical="center" wrapText="1"/>
    </xf>
    <xf numFmtId="165" fontId="8" fillId="0" borderId="12" xfId="0" applyNumberFormat="1" applyFont="1" applyBorder="1" applyAlignment="1">
      <alignment horizontal="center" vertical="center" wrapText="1"/>
    </xf>
    <xf numFmtId="6" fontId="0" fillId="0" borderId="0" xfId="0" applyNumberFormat="1"/>
    <xf numFmtId="0" fontId="10" fillId="0" borderId="0" xfId="0" applyFont="1" applyAlignment="1">
      <alignment wrapText="1"/>
    </xf>
    <xf numFmtId="0" fontId="10" fillId="0" borderId="0" xfId="0" applyFont="1"/>
    <xf numFmtId="9" fontId="10" fillId="0" borderId="0" xfId="2" applyFont="1"/>
    <xf numFmtId="9" fontId="11" fillId="0" borderId="0" xfId="2" applyFont="1"/>
    <xf numFmtId="9" fontId="11" fillId="0" borderId="0" xfId="0" applyNumberFormat="1" applyFont="1"/>
    <xf numFmtId="2" fontId="11" fillId="0" borderId="0" xfId="0" applyNumberFormat="1" applyFont="1"/>
    <xf numFmtId="0" fontId="11" fillId="0" borderId="0" xfId="0" applyFont="1" applyAlignment="1">
      <alignment wrapText="1"/>
    </xf>
    <xf numFmtId="0" fontId="11" fillId="0" borderId="0" xfId="0" applyFont="1"/>
    <xf numFmtId="164" fontId="11" fillId="0" borderId="1" xfId="0" applyNumberFormat="1" applyFont="1" applyBorder="1"/>
    <xf numFmtId="164" fontId="11" fillId="0" borderId="0" xfId="0" applyNumberFormat="1" applyFont="1"/>
    <xf numFmtId="164" fontId="11" fillId="0" borderId="2" xfId="0" applyNumberFormat="1" applyFont="1" applyBorder="1"/>
    <xf numFmtId="164" fontId="11" fillId="0" borderId="3" xfId="0" applyNumberFormat="1" applyFont="1" applyBorder="1"/>
    <xf numFmtId="164" fontId="11" fillId="0" borderId="4" xfId="0" applyNumberFormat="1" applyFont="1" applyBorder="1"/>
    <xf numFmtId="164" fontId="11" fillId="0" borderId="5" xfId="0" applyNumberFormat="1" applyFont="1" applyBorder="1"/>
    <xf numFmtId="164" fontId="10" fillId="0" borderId="6" xfId="0" applyNumberFormat="1" applyFont="1" applyBorder="1"/>
    <xf numFmtId="164" fontId="10" fillId="0" borderId="7" xfId="0" applyNumberFormat="1" applyFont="1" applyBorder="1"/>
    <xf numFmtId="164" fontId="10" fillId="0" borderId="8" xfId="0" applyNumberFormat="1" applyFont="1" applyBorder="1"/>
    <xf numFmtId="164" fontId="10" fillId="0" borderId="3" xfId="0" applyNumberFormat="1" applyFont="1" applyBorder="1"/>
    <xf numFmtId="164" fontId="10" fillId="0" borderId="4" xfId="0" applyNumberFormat="1" applyFont="1" applyBorder="1"/>
    <xf numFmtId="164" fontId="10" fillId="0" borderId="5" xfId="0" applyNumberFormat="1" applyFont="1" applyBorder="1"/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2" fillId="2" borderId="11" xfId="0" applyFont="1" applyFill="1" applyBorder="1" applyAlignment="1">
      <alignment vertical="center" wrapText="1"/>
    </xf>
    <xf numFmtId="0" fontId="13" fillId="2" borderId="12" xfId="0" applyFont="1" applyFill="1" applyBorder="1" applyAlignment="1">
      <alignment horizontal="center" vertical="center" wrapText="1"/>
    </xf>
    <xf numFmtId="10" fontId="13" fillId="2" borderId="12" xfId="0" applyNumberFormat="1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vertical="center" wrapText="1"/>
    </xf>
    <xf numFmtId="0" fontId="11" fillId="0" borderId="12" xfId="0" applyFont="1" applyBorder="1" applyAlignment="1">
      <alignment horizontal="center" vertical="center" wrapText="1"/>
    </xf>
    <xf numFmtId="10" fontId="11" fillId="0" borderId="12" xfId="0" applyNumberFormat="1" applyFont="1" applyBorder="1" applyAlignment="1">
      <alignment horizontal="center" vertical="center" wrapText="1"/>
    </xf>
    <xf numFmtId="0" fontId="10" fillId="0" borderId="13" xfId="0" applyFont="1" applyBorder="1" applyAlignment="1">
      <alignment wrapText="1"/>
    </xf>
    <xf numFmtId="0" fontId="10" fillId="0" borderId="6" xfId="0" applyFont="1" applyBorder="1" applyAlignment="1">
      <alignment wrapText="1"/>
    </xf>
    <xf numFmtId="0" fontId="10" fillId="0" borderId="7" xfId="0" applyFont="1" applyBorder="1" applyAlignment="1">
      <alignment wrapText="1"/>
    </xf>
    <xf numFmtId="0" fontId="10" fillId="0" borderId="8" xfId="0" applyFont="1" applyBorder="1" applyAlignment="1">
      <alignment wrapText="1"/>
    </xf>
    <xf numFmtId="0" fontId="10" fillId="0" borderId="14" xfId="0" applyFont="1" applyBorder="1"/>
    <xf numFmtId="0" fontId="10" fillId="0" borderId="15" xfId="0" applyFont="1" applyBorder="1"/>
    <xf numFmtId="1" fontId="11" fillId="0" borderId="14" xfId="0" applyNumberFormat="1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166" fontId="11" fillId="0" borderId="2" xfId="0" applyNumberFormat="1" applyFont="1" applyBorder="1" applyAlignment="1">
      <alignment horizontal="center" vertical="center"/>
    </xf>
    <xf numFmtId="1" fontId="11" fillId="0" borderId="15" xfId="0" applyNumberFormat="1" applyFont="1" applyBorder="1" applyAlignment="1">
      <alignment horizontal="center" vertical="center"/>
    </xf>
    <xf numFmtId="166" fontId="11" fillId="0" borderId="3" xfId="0" applyNumberFormat="1" applyFont="1" applyBorder="1" applyAlignment="1">
      <alignment horizontal="center" vertical="center"/>
    </xf>
    <xf numFmtId="166" fontId="11" fillId="0" borderId="4" xfId="0" applyNumberFormat="1" applyFont="1" applyBorder="1" applyAlignment="1">
      <alignment horizontal="center" vertical="center"/>
    </xf>
    <xf numFmtId="166" fontId="11" fillId="0" borderId="5" xfId="0" applyNumberFormat="1" applyFont="1" applyBorder="1" applyAlignment="1">
      <alignment horizontal="center" vertical="center"/>
    </xf>
    <xf numFmtId="0" fontId="10" fillId="0" borderId="16" xfId="0" applyFont="1" applyBorder="1" applyAlignment="1">
      <alignment wrapText="1"/>
    </xf>
    <xf numFmtId="0" fontId="11" fillId="0" borderId="14" xfId="0" applyFont="1" applyBorder="1"/>
    <xf numFmtId="0" fontId="11" fillId="0" borderId="15" xfId="0" applyFont="1" applyBorder="1"/>
    <xf numFmtId="167" fontId="11" fillId="0" borderId="0" xfId="1" applyNumberFormat="1" applyFont="1"/>
    <xf numFmtId="0" fontId="0" fillId="0" borderId="0" xfId="0" applyAlignment="1">
      <alignment wrapText="1"/>
    </xf>
    <xf numFmtId="167" fontId="0" fillId="0" borderId="0" xfId="1" applyNumberFormat="1" applyFont="1"/>
    <xf numFmtId="168" fontId="0" fillId="0" borderId="0" xfId="4" applyNumberFormat="1" applyFont="1"/>
    <xf numFmtId="167" fontId="0" fillId="0" borderId="0" xfId="0" applyNumberFormat="1"/>
    <xf numFmtId="1" fontId="11" fillId="0" borderId="0" xfId="0" applyNumberFormat="1" applyFont="1"/>
    <xf numFmtId="44" fontId="11" fillId="0" borderId="0" xfId="1" applyFont="1"/>
    <xf numFmtId="167" fontId="11" fillId="0" borderId="0" xfId="0" applyNumberFormat="1" applyFont="1"/>
    <xf numFmtId="166" fontId="0" fillId="0" borderId="0" xfId="0" applyNumberFormat="1"/>
    <xf numFmtId="2" fontId="0" fillId="0" borderId="0" xfId="0" applyNumberFormat="1"/>
    <xf numFmtId="0" fontId="10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10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</cellXfs>
  <cellStyles count="5">
    <cellStyle name="Comma" xfId="4" builtinId="3"/>
    <cellStyle name="Currency" xfId="1" builtinId="4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Adoption Trajectories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'Adoption Trajectory'!$F$22</c:f>
              <c:strCache>
                <c:ptCount val="1"/>
                <c:pt idx="0">
                  <c:v>Low Adoption Trajectory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'Adoption Trajectory'!$E$23:$E$38</c:f>
              <c:numCache>
                <c:formatCode>General</c:formatCode>
                <c:ptCount val="16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  <c:pt idx="4">
                  <c:v>2027</c:v>
                </c:pt>
                <c:pt idx="5">
                  <c:v>2028</c:v>
                </c:pt>
                <c:pt idx="6">
                  <c:v>2029</c:v>
                </c:pt>
                <c:pt idx="7">
                  <c:v>2030</c:v>
                </c:pt>
                <c:pt idx="8">
                  <c:v>2031</c:v>
                </c:pt>
                <c:pt idx="9">
                  <c:v>2032</c:v>
                </c:pt>
                <c:pt idx="10">
                  <c:v>2033</c:v>
                </c:pt>
                <c:pt idx="11">
                  <c:v>2034</c:v>
                </c:pt>
                <c:pt idx="12">
                  <c:v>2035</c:v>
                </c:pt>
                <c:pt idx="13">
                  <c:v>2036</c:v>
                </c:pt>
                <c:pt idx="14">
                  <c:v>2037</c:v>
                </c:pt>
              </c:numCache>
            </c:numRef>
          </c:cat>
          <c:val>
            <c:numRef>
              <c:f>'Adoption Trajectory'!$F$23:$F$38</c:f>
              <c:numCache>
                <c:formatCode>0%</c:formatCode>
                <c:ptCount val="16"/>
                <c:pt idx="0">
                  <c:v>0.01</c:v>
                </c:pt>
                <c:pt idx="1">
                  <c:v>1.659058371384171E-2</c:v>
                </c:pt>
                <c:pt idx="2">
                  <c:v>2.7223406647669757E-2</c:v>
                </c:pt>
                <c:pt idx="3">
                  <c:v>4.3890662865978945E-2</c:v>
                </c:pt>
                <c:pt idx="4">
                  <c:v>6.8876848756818654E-2</c:v>
                </c:pt>
                <c:pt idx="5">
                  <c:v>0.10393569351944917</c:v>
                </c:pt>
                <c:pt idx="6">
                  <c:v>0.14881943318154645</c:v>
                </c:pt>
                <c:pt idx="7">
                  <c:v>0.19999275920000315</c:v>
                </c:pt>
                <c:pt idx="8">
                  <c:v>0.25116703331353935</c:v>
                </c:pt>
                <c:pt idx="9">
                  <c:v>0.29605316552528627</c:v>
                </c:pt>
                <c:pt idx="10">
                  <c:v>0.33111489390658277</c:v>
                </c:pt>
                <c:pt idx="11">
                  <c:v>0.35610367817430466</c:v>
                </c:pt>
                <c:pt idx="12">
                  <c:v>0.37277291905050985</c:v>
                </c:pt>
                <c:pt idx="13">
                  <c:v>0.38340711320185616</c:v>
                </c:pt>
                <c:pt idx="14">
                  <c:v>0.4</c:v>
                </c:pt>
                <c:pt idx="15">
                  <c:v>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F3-46AF-8D4F-6ABB765E071A}"/>
            </c:ext>
          </c:extLst>
        </c:ser>
        <c:ser>
          <c:idx val="1"/>
          <c:order val="1"/>
          <c:tx>
            <c:strRef>
              <c:f>'Adoption Trajectory'!$G$22</c:f>
              <c:strCache>
                <c:ptCount val="1"/>
                <c:pt idx="0">
                  <c:v>Medium Adoption Trajectory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'Adoption Trajectory'!$E$23:$E$38</c:f>
              <c:numCache>
                <c:formatCode>General</c:formatCode>
                <c:ptCount val="16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  <c:pt idx="4">
                  <c:v>2027</c:v>
                </c:pt>
                <c:pt idx="5">
                  <c:v>2028</c:v>
                </c:pt>
                <c:pt idx="6">
                  <c:v>2029</c:v>
                </c:pt>
                <c:pt idx="7">
                  <c:v>2030</c:v>
                </c:pt>
                <c:pt idx="8">
                  <c:v>2031</c:v>
                </c:pt>
                <c:pt idx="9">
                  <c:v>2032</c:v>
                </c:pt>
                <c:pt idx="10">
                  <c:v>2033</c:v>
                </c:pt>
                <c:pt idx="11">
                  <c:v>2034</c:v>
                </c:pt>
                <c:pt idx="12">
                  <c:v>2035</c:v>
                </c:pt>
                <c:pt idx="13">
                  <c:v>2036</c:v>
                </c:pt>
                <c:pt idx="14">
                  <c:v>2037</c:v>
                </c:pt>
              </c:numCache>
            </c:numRef>
          </c:cat>
          <c:val>
            <c:numRef>
              <c:f>'Adoption Trajectory'!$G$23:$G$38</c:f>
              <c:numCache>
                <c:formatCode>0%</c:formatCode>
                <c:ptCount val="16"/>
                <c:pt idx="0">
                  <c:v>0.02</c:v>
                </c:pt>
                <c:pt idx="1">
                  <c:v>3.1590071061181738E-2</c:v>
                </c:pt>
                <c:pt idx="2">
                  <c:v>4.9447990876747672E-2</c:v>
                </c:pt>
                <c:pt idx="3">
                  <c:v>7.6050348073284466E-2</c:v>
                </c:pt>
                <c:pt idx="4">
                  <c:v>0.11400093960918775</c:v>
                </c:pt>
                <c:pt idx="5">
                  <c:v>0.16492830132610611</c:v>
                </c:pt>
                <c:pt idx="6">
                  <c:v>0.22793614059414585</c:v>
                </c:pt>
                <c:pt idx="7">
                  <c:v>0.29850001249987496</c:v>
                </c:pt>
                <c:pt idx="8">
                  <c:v>0.36923025383470931</c:v>
                </c:pt>
                <c:pt idx="9">
                  <c:v>0.43266910681371784</c:v>
                </c:pt>
                <c:pt idx="10">
                  <c:v>0.48414078946007005</c:v>
                </c:pt>
                <c:pt idx="11">
                  <c:v>0.52261148871225849</c:v>
                </c:pt>
                <c:pt idx="12">
                  <c:v>0.54963694086146508</c:v>
                </c:pt>
                <c:pt idx="13">
                  <c:v>0.56780600879569676</c:v>
                </c:pt>
                <c:pt idx="14">
                  <c:v>0.6</c:v>
                </c:pt>
                <c:pt idx="15">
                  <c:v>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F3-46AF-8D4F-6ABB765E071A}"/>
            </c:ext>
          </c:extLst>
        </c:ser>
        <c:ser>
          <c:idx val="2"/>
          <c:order val="2"/>
          <c:tx>
            <c:strRef>
              <c:f>'Adoption Trajectory'!$H$22</c:f>
              <c:strCache>
                <c:ptCount val="1"/>
                <c:pt idx="0">
                  <c:v>High Adoption Trajectory</c:v>
                </c:pt>
              </c:strCache>
            </c:strRef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'Adoption Trajectory'!$E$23:$E$38</c:f>
              <c:numCache>
                <c:formatCode>General</c:formatCode>
                <c:ptCount val="16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  <c:pt idx="4">
                  <c:v>2027</c:v>
                </c:pt>
                <c:pt idx="5">
                  <c:v>2028</c:v>
                </c:pt>
                <c:pt idx="6">
                  <c:v>2029</c:v>
                </c:pt>
                <c:pt idx="7">
                  <c:v>2030</c:v>
                </c:pt>
                <c:pt idx="8">
                  <c:v>2031</c:v>
                </c:pt>
                <c:pt idx="9">
                  <c:v>2032</c:v>
                </c:pt>
                <c:pt idx="10">
                  <c:v>2033</c:v>
                </c:pt>
                <c:pt idx="11">
                  <c:v>2034</c:v>
                </c:pt>
                <c:pt idx="12">
                  <c:v>2035</c:v>
                </c:pt>
                <c:pt idx="13">
                  <c:v>2036</c:v>
                </c:pt>
                <c:pt idx="14">
                  <c:v>2037</c:v>
                </c:pt>
              </c:numCache>
            </c:numRef>
          </c:cat>
          <c:val>
            <c:numRef>
              <c:f>'Adoption Trajectory'!$H$23:$H$38</c:f>
              <c:numCache>
                <c:formatCode>0%</c:formatCode>
                <c:ptCount val="16"/>
                <c:pt idx="0">
                  <c:v>0.03</c:v>
                </c:pt>
                <c:pt idx="1">
                  <c:v>4.6293564221088809E-2</c:v>
                </c:pt>
                <c:pt idx="2">
                  <c:v>7.0934930603786639E-2</c:v>
                </c:pt>
                <c:pt idx="3">
                  <c:v>0.10683337802656999</c:v>
                </c:pt>
                <c:pt idx="4">
                  <c:v>0.15698724509262335</c:v>
                </c:pt>
                <c:pt idx="5">
                  <c:v>0.22310785758170959</c:v>
                </c:pt>
                <c:pt idx="6">
                  <c:v>0.30391485412552793</c:v>
                </c:pt>
                <c:pt idx="7">
                  <c:v>0.39400044995950373</c:v>
                </c:pt>
                <c:pt idx="8">
                  <c:v>0.48469893474540854</c:v>
                </c:pt>
                <c:pt idx="9">
                  <c:v>0.56711213805289606</c:v>
                </c:pt>
                <c:pt idx="10">
                  <c:v>0.63530370255924218</c:v>
                </c:pt>
                <c:pt idx="11">
                  <c:v>0.68748949941269277</c:v>
                </c:pt>
                <c:pt idx="12">
                  <c:v>0.72508943020981154</c:v>
                </c:pt>
                <c:pt idx="13">
                  <c:v>0.75101906974407373</c:v>
                </c:pt>
                <c:pt idx="14">
                  <c:v>0.8</c:v>
                </c:pt>
                <c:pt idx="15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9F3-46AF-8D4F-6ABB765E07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082975"/>
        <c:axId val="549081727"/>
      </c:lineChart>
      <c:catAx>
        <c:axId val="5490829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081727"/>
        <c:crosses val="autoZero"/>
        <c:auto val="1"/>
        <c:lblAlgn val="ctr"/>
        <c:lblOffset val="100"/>
        <c:noMultiLvlLbl val="0"/>
      </c:catAx>
      <c:valAx>
        <c:axId val="549081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Adoption Rate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082975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7</xdr:row>
      <xdr:rowOff>0</xdr:rowOff>
    </xdr:from>
    <xdr:to>
      <xdr:col>10</xdr:col>
      <xdr:colOff>472440</xdr:colOff>
      <xdr:row>10</xdr:row>
      <xdr:rowOff>7620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156B610-EA72-CB71-84C9-0DF4A10401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1460" y="1645920"/>
          <a:ext cx="2910840" cy="556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160020</xdr:colOff>
      <xdr:row>22</xdr:row>
      <xdr:rowOff>175260</xdr:rowOff>
    </xdr:from>
    <xdr:to>
      <xdr:col>15</xdr:col>
      <xdr:colOff>464820</xdr:colOff>
      <xdr:row>37</xdr:row>
      <xdr:rowOff>175260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1B9B458-22EA-7445-8908-C47E84B3F65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dervi\Desktop\Thesis%20Submission\data\West%20Central.xlsx" TargetMode="External"/><Relationship Id="rId1" Type="http://schemas.openxmlformats.org/officeDocument/2006/relationships/externalLinkPath" Target="/Users/dervi/Desktop/Thesis%20Submission/data/West%20Central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dervi\Desktop\Thesis%20Submission\data\Region\West%20Central-Calculations.xlsx" TargetMode="External"/><Relationship Id="rId1" Type="http://schemas.openxmlformats.org/officeDocument/2006/relationships/externalLinkPath" Target="West%20Central-Calcula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mmary"/>
      <sheetName val="Producer Level-Cost Calculation"/>
      <sheetName val="Region-Level"/>
      <sheetName val="Adoption trajectory"/>
      <sheetName val="2008"/>
      <sheetName val="2009"/>
      <sheetName val="2010"/>
      <sheetName val="2011"/>
      <sheetName val="2012"/>
      <sheetName val="2013"/>
      <sheetName val="2014"/>
      <sheetName val="2015"/>
      <sheetName val="2016"/>
      <sheetName val="2017"/>
      <sheetName val="2018"/>
      <sheetName val="2019"/>
      <sheetName val="2020"/>
      <sheetName val="2021"/>
      <sheetName val="2022"/>
    </sheetNames>
    <sheetDataSet>
      <sheetData sheetId="0" refreshError="1"/>
      <sheetData sheetId="1" refreshError="1"/>
      <sheetData sheetId="2" refreshError="1"/>
      <sheetData sheetId="3" refreshError="1">
        <row r="2">
          <cell r="B2">
            <v>0.01</v>
          </cell>
          <cell r="C2">
            <v>0.02</v>
          </cell>
          <cell r="D2">
            <v>0.03</v>
          </cell>
        </row>
        <row r="3">
          <cell r="C3">
            <v>3.1590071061181738E-2</v>
          </cell>
          <cell r="D3">
            <v>4.6293564221088809E-2</v>
          </cell>
        </row>
        <row r="4">
          <cell r="C4">
            <v>4.9447990876747672E-2</v>
          </cell>
          <cell r="D4">
            <v>7.0934930603786639E-2</v>
          </cell>
        </row>
        <row r="5">
          <cell r="C5">
            <v>7.6050348073284466E-2</v>
          </cell>
          <cell r="D5">
            <v>0.10683337802656999</v>
          </cell>
        </row>
        <row r="6">
          <cell r="C6">
            <v>0.11400093960918775</v>
          </cell>
          <cell r="D6">
            <v>0.15698724509262335</v>
          </cell>
        </row>
        <row r="7">
          <cell r="C7">
            <v>0.16492830132610611</v>
          </cell>
          <cell r="D7">
            <v>0.22310785758170959</v>
          </cell>
        </row>
        <row r="8">
          <cell r="C8">
            <v>0.22793614059414585</v>
          </cell>
          <cell r="D8">
            <v>0.30391485412552793</v>
          </cell>
        </row>
        <row r="9">
          <cell r="C9">
            <v>0.29850001249987496</v>
          </cell>
          <cell r="D9">
            <v>0.39400044995950373</v>
          </cell>
        </row>
        <row r="10">
          <cell r="C10">
            <v>0.36923025383470931</v>
          </cell>
          <cell r="D10">
            <v>0.48469893474540854</v>
          </cell>
        </row>
        <row r="11">
          <cell r="C11">
            <v>0.43266910681371784</v>
          </cell>
          <cell r="D11">
            <v>0.56711213805289606</v>
          </cell>
        </row>
        <row r="12">
          <cell r="C12">
            <v>0.48414078946007005</v>
          </cell>
          <cell r="D12">
            <v>0.63530370255924218</v>
          </cell>
        </row>
        <row r="13">
          <cell r="C13">
            <v>0.52261148871225849</v>
          </cell>
          <cell r="D13">
            <v>0.68748949941269277</v>
          </cell>
        </row>
        <row r="14">
          <cell r="C14">
            <v>0.54963694086146508</v>
          </cell>
          <cell r="D14">
            <v>0.72508943020981154</v>
          </cell>
        </row>
        <row r="15">
          <cell r="C15">
            <v>0.56780600879569676</v>
          </cell>
          <cell r="D15">
            <v>0.75101906974407373</v>
          </cell>
        </row>
        <row r="16">
          <cell r="C16">
            <v>0.6</v>
          </cell>
          <cell r="D16">
            <v>0.8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mmary"/>
      <sheetName val="Producer Level-Cost Calculation"/>
      <sheetName val="Region-Level"/>
      <sheetName val="Adoption trajectory"/>
      <sheetName val="2008"/>
      <sheetName val="2009"/>
      <sheetName val="2010"/>
      <sheetName val="2011"/>
      <sheetName val="2012"/>
      <sheetName val="2013"/>
      <sheetName val="2014"/>
      <sheetName val="2015"/>
      <sheetName val="2016"/>
      <sheetName val="2017"/>
      <sheetName val="2018"/>
      <sheetName val="2019"/>
      <sheetName val="2020"/>
      <sheetName val="2021"/>
      <sheetName val="2022"/>
    </sheetNames>
    <sheetDataSet>
      <sheetData sheetId="0"/>
      <sheetData sheetId="1"/>
      <sheetData sheetId="2"/>
      <sheetData sheetId="3">
        <row r="2">
          <cell r="C2">
            <v>0.02</v>
          </cell>
          <cell r="D2">
            <v>0.03</v>
          </cell>
        </row>
        <row r="3">
          <cell r="C3">
            <v>3.1590071061181738E-2</v>
          </cell>
          <cell r="D3">
            <v>4.6293564221088809E-2</v>
          </cell>
        </row>
        <row r="4">
          <cell r="C4">
            <v>4.9447990876747672E-2</v>
          </cell>
          <cell r="D4">
            <v>7.0934930603786639E-2</v>
          </cell>
        </row>
        <row r="5">
          <cell r="C5">
            <v>7.6050348073284466E-2</v>
          </cell>
          <cell r="D5">
            <v>0.10683337802656999</v>
          </cell>
        </row>
        <row r="6">
          <cell r="C6">
            <v>0.11400093960918775</v>
          </cell>
          <cell r="D6">
            <v>0.15698724509262335</v>
          </cell>
        </row>
        <row r="7">
          <cell r="C7">
            <v>0.16492830132610611</v>
          </cell>
          <cell r="D7">
            <v>0.22310785758170959</v>
          </cell>
        </row>
        <row r="8">
          <cell r="C8">
            <v>0.22793614059414585</v>
          </cell>
          <cell r="D8">
            <v>0.30391485412552793</v>
          </cell>
        </row>
        <row r="9">
          <cell r="C9">
            <v>0.29850001249987496</v>
          </cell>
          <cell r="D9">
            <v>0.39400044995950373</v>
          </cell>
        </row>
        <row r="10">
          <cell r="C10">
            <v>0.36923025383470931</v>
          </cell>
          <cell r="D10">
            <v>0.48469893474540854</v>
          </cell>
        </row>
        <row r="11">
          <cell r="C11">
            <v>0.43266910681371784</v>
          </cell>
          <cell r="D11">
            <v>0.56711213805289606</v>
          </cell>
        </row>
        <row r="12">
          <cell r="C12">
            <v>0.48414078946007005</v>
          </cell>
          <cell r="D12">
            <v>0.63530370255924218</v>
          </cell>
        </row>
        <row r="13">
          <cell r="C13">
            <v>0.52261148871225849</v>
          </cell>
          <cell r="D13">
            <v>0.68748949941269277</v>
          </cell>
        </row>
        <row r="14">
          <cell r="C14">
            <v>0.54963694086146508</v>
          </cell>
          <cell r="D14">
            <v>0.72508943020981154</v>
          </cell>
        </row>
        <row r="15">
          <cell r="C15">
            <v>0.56780600879569676</v>
          </cell>
          <cell r="D15">
            <v>0.75101906974407373</v>
          </cell>
        </row>
        <row r="16">
          <cell r="C16">
            <v>0.6</v>
          </cell>
          <cell r="D16">
            <v>0.8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portal.nifa.usda.gov/enterprise-search/cris_projects/1001516" TargetMode="External"/><Relationship Id="rId2" Type="http://schemas.openxmlformats.org/officeDocument/2006/relationships/hyperlink" Target="https://portal.nifa.usda.gov/enterprise-search/cris_projects/1004240" TargetMode="External"/><Relationship Id="rId1" Type="http://schemas.openxmlformats.org/officeDocument/2006/relationships/hyperlink" Target="https://portal.nifa.usda.gov/enterprise-search/cris_projects/1017196" TargetMode="External"/><Relationship Id="rId5" Type="http://schemas.openxmlformats.org/officeDocument/2006/relationships/hyperlink" Target="https://portal.nifa.usda.gov/enterprise-search/cris_projects/0188490" TargetMode="External"/><Relationship Id="rId4" Type="http://schemas.openxmlformats.org/officeDocument/2006/relationships/hyperlink" Target="https://portal.nifa.usda.gov/enterprise-search/cris_projects/0222631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EBF34-D991-40C4-8A86-B457E0C9E874}">
  <dimension ref="A1:K16"/>
  <sheetViews>
    <sheetView zoomScaleNormal="100" workbookViewId="0">
      <selection activeCell="N6" sqref="N6"/>
    </sheetView>
  </sheetViews>
  <sheetFormatPr defaultRowHeight="15.6" x14ac:dyDescent="0.3"/>
  <cols>
    <col min="1" max="1" width="5.6640625" style="42" customWidth="1"/>
    <col min="2" max="2" width="10.109375" style="42" customWidth="1"/>
    <col min="3" max="3" width="15.6640625" style="42" customWidth="1"/>
    <col min="4" max="4" width="15.21875" style="42" customWidth="1"/>
    <col min="5" max="5" width="13.88671875" style="42" customWidth="1"/>
    <col min="6" max="6" width="14.5546875" style="42" customWidth="1"/>
    <col min="7" max="7" width="15.6640625" style="42" customWidth="1"/>
    <col min="8" max="8" width="14" style="42" customWidth="1"/>
    <col min="9" max="9" width="13" style="42" customWidth="1"/>
    <col min="10" max="10" width="14.109375" style="42" customWidth="1"/>
    <col min="11" max="11" width="14.33203125" style="42" customWidth="1"/>
    <col min="12" max="16384" width="8.88671875" style="42"/>
  </cols>
  <sheetData>
    <row r="1" spans="1:11" s="41" customFormat="1" ht="63" thickBot="1" x14ac:dyDescent="0.35">
      <c r="A1" s="63" t="s">
        <v>0</v>
      </c>
      <c r="B1" s="63" t="s">
        <v>56</v>
      </c>
      <c r="C1" s="64" t="s">
        <v>71</v>
      </c>
      <c r="D1" s="65" t="s">
        <v>72</v>
      </c>
      <c r="E1" s="66" t="s">
        <v>73</v>
      </c>
      <c r="F1" s="64" t="s">
        <v>74</v>
      </c>
      <c r="G1" s="65" t="s">
        <v>75</v>
      </c>
      <c r="H1" s="66" t="s">
        <v>76</v>
      </c>
      <c r="I1" s="64" t="s">
        <v>77</v>
      </c>
      <c r="J1" s="65" t="s">
        <v>78</v>
      </c>
      <c r="K1" s="66" t="s">
        <v>79</v>
      </c>
    </row>
    <row r="2" spans="1:11" x14ac:dyDescent="0.3">
      <c r="A2" s="67">
        <v>2008</v>
      </c>
      <c r="B2" s="69">
        <v>800</v>
      </c>
      <c r="C2" s="70">
        <v>351.52255915679211</v>
      </c>
      <c r="D2" s="71">
        <v>542.96700360123668</v>
      </c>
      <c r="E2" s="72">
        <v>763.91144804568125</v>
      </c>
      <c r="F2" s="70">
        <v>523.41742934603496</v>
      </c>
      <c r="G2" s="71">
        <v>726.08409601270137</v>
      </c>
      <c r="H2" s="72">
        <v>962.97298490159028</v>
      </c>
      <c r="I2" s="70">
        <v>385.47063559301046</v>
      </c>
      <c r="J2" s="71">
        <v>574.33174670412154</v>
      </c>
      <c r="K2" s="72">
        <v>788.52619114856589</v>
      </c>
    </row>
    <row r="3" spans="1:11" x14ac:dyDescent="0.3">
      <c r="A3" s="67">
        <v>2009</v>
      </c>
      <c r="B3" s="69">
        <v>800</v>
      </c>
      <c r="C3" s="70">
        <v>283.80065817759487</v>
      </c>
      <c r="D3" s="71">
        <v>535.13399151092835</v>
      </c>
      <c r="E3" s="72">
        <v>711.38399151092847</v>
      </c>
      <c r="F3" s="70">
        <v>533.85006622686285</v>
      </c>
      <c r="G3" s="71">
        <v>793.23895511575165</v>
      </c>
      <c r="H3" s="72">
        <v>996.82228844908491</v>
      </c>
      <c r="I3" s="70">
        <v>360.84499562882127</v>
      </c>
      <c r="J3" s="71">
        <v>609.92832896215464</v>
      </c>
      <c r="K3" s="72">
        <v>789.78944007326572</v>
      </c>
    </row>
    <row r="4" spans="1:11" x14ac:dyDescent="0.3">
      <c r="A4" s="67">
        <v>2010</v>
      </c>
      <c r="B4" s="69">
        <v>800</v>
      </c>
      <c r="C4" s="70">
        <v>561.97468679800011</v>
      </c>
      <c r="D4" s="71">
        <v>775.33579790911119</v>
      </c>
      <c r="E4" s="72">
        <v>1031.8635756868889</v>
      </c>
      <c r="F4" s="70">
        <v>696.24146109089872</v>
      </c>
      <c r="G4" s="71">
        <v>948.60257220200992</v>
      </c>
      <c r="H4" s="72">
        <v>1213.2692388686764</v>
      </c>
      <c r="I4" s="70">
        <v>581.2160924875808</v>
      </c>
      <c r="J4" s="71">
        <v>806.99387026535874</v>
      </c>
      <c r="K4" s="72">
        <v>1060.1605369320255</v>
      </c>
    </row>
    <row r="5" spans="1:11" x14ac:dyDescent="0.3">
      <c r="A5" s="67">
        <v>2011</v>
      </c>
      <c r="B5" s="69">
        <v>800</v>
      </c>
      <c r="C5" s="70">
        <v>321.65931520218089</v>
      </c>
      <c r="D5" s="71">
        <v>522.18709297995861</v>
      </c>
      <c r="E5" s="72">
        <v>755.63153742440295</v>
      </c>
      <c r="F5" s="70">
        <v>484.53325942440358</v>
      </c>
      <c r="G5" s="71">
        <v>724.83881497995924</v>
      </c>
      <c r="H5" s="72">
        <v>989.61659275773741</v>
      </c>
      <c r="I5" s="70">
        <v>378.1668360915146</v>
      </c>
      <c r="J5" s="71">
        <v>583.55572498040351</v>
      </c>
      <c r="K5" s="72">
        <v>828.19461386929265</v>
      </c>
    </row>
    <row r="6" spans="1:11" x14ac:dyDescent="0.3">
      <c r="A6" s="67">
        <v>2012</v>
      </c>
      <c r="B6" s="69">
        <v>800</v>
      </c>
      <c r="C6" s="70">
        <v>614.64133544977346</v>
      </c>
      <c r="D6" s="71">
        <v>862.83577989421792</v>
      </c>
      <c r="E6" s="72">
        <v>1141.5857798942184</v>
      </c>
      <c r="F6" s="70">
        <v>795.3711851970811</v>
      </c>
      <c r="G6" s="71">
        <v>1070.5656296415259</v>
      </c>
      <c r="H6" s="72">
        <v>1383.3989629748596</v>
      </c>
      <c r="I6" s="70">
        <v>646.36958812264106</v>
      </c>
      <c r="J6" s="71">
        <v>890.84181034486301</v>
      </c>
      <c r="K6" s="72">
        <v>1174.9251436781963</v>
      </c>
    </row>
    <row r="7" spans="1:11" x14ac:dyDescent="0.3">
      <c r="A7" s="67">
        <v>2013</v>
      </c>
      <c r="B7" s="69">
        <v>800</v>
      </c>
      <c r="C7" s="70">
        <v>324.68397315675077</v>
      </c>
      <c r="D7" s="71">
        <v>554.4617509345286</v>
      </c>
      <c r="E7" s="72">
        <v>798.07286204563979</v>
      </c>
      <c r="F7" s="70">
        <v>491.63332859679474</v>
      </c>
      <c r="G7" s="71">
        <v>744.18888415235051</v>
      </c>
      <c r="H7" s="72">
        <v>985.16110637457246</v>
      </c>
      <c r="I7" s="70">
        <v>360.15599450619345</v>
      </c>
      <c r="J7" s="71">
        <v>890.84181034486301</v>
      </c>
      <c r="K7" s="72">
        <v>825.57266117286031</v>
      </c>
    </row>
    <row r="8" spans="1:11" x14ac:dyDescent="0.3">
      <c r="A8" s="67">
        <v>2014</v>
      </c>
      <c r="B8" s="69">
        <v>800</v>
      </c>
      <c r="C8" s="70">
        <v>318.03683662869776</v>
      </c>
      <c r="D8" s="71">
        <v>541.09239218425319</v>
      </c>
      <c r="E8" s="72">
        <v>748.78683662869753</v>
      </c>
      <c r="F8" s="70">
        <v>504.456962119948</v>
      </c>
      <c r="G8" s="71">
        <v>767.09585100883669</v>
      </c>
      <c r="H8" s="72">
        <v>996.81807323105863</v>
      </c>
      <c r="I8" s="70">
        <v>354.01342783150653</v>
      </c>
      <c r="J8" s="71">
        <v>572.5967611648399</v>
      </c>
      <c r="K8" s="72">
        <v>777.87453894261785</v>
      </c>
    </row>
    <row r="9" spans="1:11" x14ac:dyDescent="0.3">
      <c r="A9" s="67">
        <v>2015</v>
      </c>
      <c r="B9" s="69">
        <v>800</v>
      </c>
      <c r="C9" s="70">
        <v>371.94605229466299</v>
      </c>
      <c r="D9" s="71">
        <v>569.41827451688516</v>
      </c>
      <c r="E9" s="72">
        <v>781.50160785021853</v>
      </c>
      <c r="F9" s="70">
        <v>585.53025222697568</v>
      </c>
      <c r="G9" s="71">
        <v>813.94691889364253</v>
      </c>
      <c r="H9" s="72">
        <v>1032.5858077825314</v>
      </c>
      <c r="I9" s="70">
        <v>424.39565831875973</v>
      </c>
      <c r="J9" s="71">
        <v>628.09010276320419</v>
      </c>
      <c r="K9" s="72">
        <v>823.64565831875984</v>
      </c>
    </row>
    <row r="10" spans="1:11" x14ac:dyDescent="0.3">
      <c r="A10" s="67">
        <v>2016</v>
      </c>
      <c r="B10" s="69">
        <v>800</v>
      </c>
      <c r="C10" s="70">
        <v>408.51955548927913</v>
      </c>
      <c r="D10" s="71">
        <v>637.4917777115013</v>
      </c>
      <c r="E10" s="72">
        <v>888.01955548927936</v>
      </c>
      <c r="F10" s="70">
        <v>680.57809262587648</v>
      </c>
      <c r="G10" s="71">
        <v>942.60587040365454</v>
      </c>
      <c r="H10" s="72">
        <v>1205.3836481814324</v>
      </c>
      <c r="I10" s="70">
        <v>465.82398389785169</v>
      </c>
      <c r="J10" s="71">
        <v>687.0739838978518</v>
      </c>
      <c r="K10" s="72">
        <v>924.18509500896266</v>
      </c>
    </row>
    <row r="11" spans="1:11" x14ac:dyDescent="0.3">
      <c r="A11" s="67">
        <v>2017</v>
      </c>
      <c r="B11" s="69">
        <v>800</v>
      </c>
      <c r="C11" s="70">
        <v>427.95924876734114</v>
      </c>
      <c r="D11" s="71">
        <v>627.76480432289668</v>
      </c>
      <c r="E11" s="72">
        <v>859.15369321178559</v>
      </c>
      <c r="F11" s="70">
        <v>658.28757782523905</v>
      </c>
      <c r="G11" s="71">
        <v>888.37091115857243</v>
      </c>
      <c r="H11" s="72">
        <v>1139.7598000474613</v>
      </c>
      <c r="I11" s="70">
        <v>459.07173961764897</v>
      </c>
      <c r="J11" s="71">
        <v>654.87729517320452</v>
      </c>
      <c r="K11" s="72">
        <v>886.59951739542657</v>
      </c>
    </row>
    <row r="12" spans="1:11" x14ac:dyDescent="0.3">
      <c r="A12" s="67">
        <v>2018</v>
      </c>
      <c r="B12" s="69">
        <v>800</v>
      </c>
      <c r="C12" s="70">
        <v>400.66904821780236</v>
      </c>
      <c r="D12" s="71">
        <v>631.97460377335779</v>
      </c>
      <c r="E12" s="72">
        <v>914.80793710669104</v>
      </c>
      <c r="F12" s="70">
        <v>524.00343626435586</v>
      </c>
      <c r="G12" s="71">
        <v>770.22565848657814</v>
      </c>
      <c r="H12" s="72">
        <v>1054.1701029310225</v>
      </c>
      <c r="I12" s="70">
        <v>409.73773885124785</v>
      </c>
      <c r="J12" s="71">
        <v>645.6821832956922</v>
      </c>
      <c r="K12" s="72">
        <v>911.98773885124797</v>
      </c>
    </row>
    <row r="13" spans="1:11" x14ac:dyDescent="0.3">
      <c r="A13" s="67">
        <v>2019</v>
      </c>
      <c r="B13" s="69">
        <v>800</v>
      </c>
      <c r="C13" s="70">
        <v>256.74062969417184</v>
      </c>
      <c r="D13" s="71">
        <v>467.57396302750521</v>
      </c>
      <c r="E13" s="72">
        <v>711.29618524972727</v>
      </c>
      <c r="F13" s="70">
        <v>439.02868484892736</v>
      </c>
      <c r="G13" s="71">
        <v>667.88979596003833</v>
      </c>
      <c r="H13" s="72">
        <v>942.25090707114941</v>
      </c>
      <c r="I13" s="70">
        <v>303.27449620120103</v>
      </c>
      <c r="J13" s="71">
        <v>507.41338509008995</v>
      </c>
      <c r="K13" s="72">
        <v>755.7467184234232</v>
      </c>
    </row>
    <row r="14" spans="1:11" x14ac:dyDescent="0.3">
      <c r="A14" s="67">
        <v>2020</v>
      </c>
      <c r="B14" s="69">
        <v>800</v>
      </c>
      <c r="C14" s="70">
        <v>279.50918428678915</v>
      </c>
      <c r="D14" s="71">
        <v>506.28696206456698</v>
      </c>
      <c r="E14" s="72">
        <v>782.56473984234481</v>
      </c>
      <c r="F14" s="70">
        <v>515.43923771463278</v>
      </c>
      <c r="G14" s="71">
        <v>778.3281266035217</v>
      </c>
      <c r="H14" s="72">
        <v>1065.4114599368547</v>
      </c>
      <c r="I14" s="70">
        <v>349.54559973785535</v>
      </c>
      <c r="J14" s="71">
        <v>577.79559973785535</v>
      </c>
      <c r="K14" s="72">
        <v>849.87893307118884</v>
      </c>
    </row>
    <row r="15" spans="1:11" x14ac:dyDescent="0.3">
      <c r="A15" s="67">
        <v>2021</v>
      </c>
      <c r="B15" s="69">
        <v>800</v>
      </c>
      <c r="C15" s="70">
        <v>494.34229216540064</v>
      </c>
      <c r="D15" s="71">
        <v>696.50895883206749</v>
      </c>
      <c r="E15" s="72">
        <v>912.67562549873446</v>
      </c>
      <c r="F15" s="70">
        <v>653.48108340032149</v>
      </c>
      <c r="G15" s="71">
        <v>890.09219451143258</v>
      </c>
      <c r="H15" s="72">
        <v>1136.2588611780991</v>
      </c>
      <c r="I15" s="70">
        <v>502.46846138616627</v>
      </c>
      <c r="J15" s="71">
        <v>699.19068360838867</v>
      </c>
      <c r="K15" s="72">
        <v>921.3573502750553</v>
      </c>
    </row>
    <row r="16" spans="1:11" ht="16.2" thickBot="1" x14ac:dyDescent="0.35">
      <c r="A16" s="68">
        <v>2022</v>
      </c>
      <c r="B16" s="73">
        <v>800</v>
      </c>
      <c r="C16" s="74">
        <v>366.97717925064876</v>
      </c>
      <c r="D16" s="75">
        <v>588.03273480620419</v>
      </c>
      <c r="E16" s="76">
        <v>818.58829036175985</v>
      </c>
      <c r="F16" s="74">
        <v>590.17889623036331</v>
      </c>
      <c r="G16" s="75">
        <v>833.65111845258571</v>
      </c>
      <c r="H16" s="76">
        <v>1095.1233406748081</v>
      </c>
      <c r="I16" s="74">
        <v>408.44062783648451</v>
      </c>
      <c r="J16" s="75">
        <v>627.88507228092885</v>
      </c>
      <c r="K16" s="76">
        <v>868.0517389475956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104C8-526E-46E9-900B-AF8F6CAA7942}">
  <dimension ref="A1:E4"/>
  <sheetViews>
    <sheetView workbookViewId="0">
      <selection activeCell="E2" sqref="E2"/>
    </sheetView>
  </sheetViews>
  <sheetFormatPr defaultRowHeight="14.4" x14ac:dyDescent="0.3"/>
  <cols>
    <col min="1" max="1" width="13.109375" customWidth="1"/>
    <col min="2" max="2" width="17.21875" customWidth="1"/>
    <col min="3" max="3" width="12.6640625" customWidth="1"/>
    <col min="4" max="4" width="13.5546875" customWidth="1"/>
    <col min="5" max="5" width="11" customWidth="1"/>
  </cols>
  <sheetData>
    <row r="1" spans="1:5" ht="42" thickBot="1" x14ac:dyDescent="0.35">
      <c r="A1" s="25" t="s">
        <v>40</v>
      </c>
      <c r="B1" s="26" t="s">
        <v>41</v>
      </c>
      <c r="C1" s="26" t="s">
        <v>42</v>
      </c>
      <c r="D1" s="26" t="s">
        <v>43</v>
      </c>
      <c r="E1" s="26" t="s">
        <v>44</v>
      </c>
    </row>
    <row r="2" spans="1:5" ht="28.2" thickBot="1" x14ac:dyDescent="0.35">
      <c r="A2" s="27" t="s">
        <v>45</v>
      </c>
      <c r="B2" s="31">
        <f>+'State Wide Cost'!K18</f>
        <v>3429492.3270762651</v>
      </c>
      <c r="C2" s="32">
        <f>+'Research Cost'!H11</f>
        <v>968749.12122343876</v>
      </c>
      <c r="D2" s="28">
        <f>+'Extension Cost'!H17</f>
        <v>1050000</v>
      </c>
      <c r="E2" s="32">
        <f>+B2-C2-D2</f>
        <v>1410743.2058528261</v>
      </c>
    </row>
    <row r="3" spans="1:5" ht="28.2" thickBot="1" x14ac:dyDescent="0.35">
      <c r="A3" s="29" t="s">
        <v>46</v>
      </c>
      <c r="B3" s="33">
        <f>+'State Wide Cost'!L18</f>
        <v>5165969.8331201747</v>
      </c>
      <c r="C3" s="33">
        <f>+'Research Cost'!H11</f>
        <v>968749.12122343876</v>
      </c>
      <c r="D3" s="30">
        <f>+'Extension Cost'!H17</f>
        <v>1050000</v>
      </c>
      <c r="E3" s="32">
        <f t="shared" ref="E3:E4" si="0">+B3-C3-D3</f>
        <v>3147220.7118967362</v>
      </c>
    </row>
    <row r="4" spans="1:5" ht="28.2" thickBot="1" x14ac:dyDescent="0.35">
      <c r="A4" s="27" t="s">
        <v>47</v>
      </c>
      <c r="B4" s="31">
        <f>+'State Wide Cost'!M18</f>
        <v>6870347.1542984853</v>
      </c>
      <c r="C4" s="32">
        <f>+'Research Cost'!H11</f>
        <v>968749.12122343876</v>
      </c>
      <c r="D4" s="28">
        <f>+'Extension Cost'!H17</f>
        <v>1050000</v>
      </c>
      <c r="E4" s="32">
        <f t="shared" si="0"/>
        <v>4851598.0330750467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BBCD0-DD06-4D9F-A1EE-C26F0A230EE5}">
  <dimension ref="A1:I19"/>
  <sheetViews>
    <sheetView workbookViewId="0">
      <selection activeCell="B3" sqref="B3"/>
    </sheetView>
  </sheetViews>
  <sheetFormatPr defaultRowHeight="14.4" x14ac:dyDescent="0.3"/>
  <cols>
    <col min="2" max="2" width="12" customWidth="1"/>
    <col min="3" max="3" width="15.6640625" customWidth="1"/>
    <col min="4" max="4" width="14.5546875" customWidth="1"/>
    <col min="5" max="5" width="13.77734375" bestFit="1" customWidth="1"/>
    <col min="6" max="6" width="13.33203125" bestFit="1" customWidth="1"/>
    <col min="7" max="7" width="12.88671875" customWidth="1"/>
    <col min="8" max="8" width="19.5546875" bestFit="1" customWidth="1"/>
    <col min="9" max="9" width="16.109375" bestFit="1" customWidth="1"/>
  </cols>
  <sheetData>
    <row r="1" spans="1:9" s="1" customFormat="1" ht="28.8" x14ac:dyDescent="0.3">
      <c r="A1" s="1" t="s">
        <v>0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</row>
    <row r="2" spans="1:9" x14ac:dyDescent="0.3">
      <c r="A2">
        <v>2023</v>
      </c>
      <c r="B2" s="34">
        <f>+'State Wide Cost'!K3</f>
        <v>26039.212783929637</v>
      </c>
      <c r="C2" s="34">
        <f>+'State Wide Cost'!L3</f>
        <v>52078.425567859274</v>
      </c>
      <c r="D2" s="34">
        <f>+'State Wide Cost'!M3</f>
        <v>78117.638351788919</v>
      </c>
      <c r="E2" s="34">
        <f>+'Research Cost'!H11</f>
        <v>968749.12122343876</v>
      </c>
      <c r="F2" s="34">
        <f>+'Extension Cost'!H2</f>
        <v>69999.999999999985</v>
      </c>
      <c r="G2" s="34">
        <f>+B2-E2-F2</f>
        <v>-1012709.9084395091</v>
      </c>
      <c r="H2" s="34">
        <f>+C2-E2-F2</f>
        <v>-986670.69565557945</v>
      </c>
      <c r="I2" s="34">
        <f>+D2-E2-F2</f>
        <v>-960631.48287164979</v>
      </c>
    </row>
    <row r="3" spans="1:9" x14ac:dyDescent="0.3">
      <c r="A3">
        <v>2024</v>
      </c>
      <c r="B3" s="34">
        <f>+'State Wide Cost'!K4</f>
        <v>40754.250519749839</v>
      </c>
      <c r="C3" s="34">
        <f>+'State Wide Cost'!L4</f>
        <v>77600.022529043577</v>
      </c>
      <c r="D3" s="34">
        <f>+'State Wide Cost'!M4</f>
        <v>113718.69406525581</v>
      </c>
      <c r="E3" s="34"/>
      <c r="F3" s="34">
        <f>+'Extension Cost'!H3</f>
        <v>69999.999999999985</v>
      </c>
      <c r="G3" s="34">
        <f>+B3-E3-F3</f>
        <v>-29245.749480250146</v>
      </c>
      <c r="H3" s="34">
        <f t="shared" ref="H3:H16" si="0">+C3-E3-F3</f>
        <v>7600.0225290435919</v>
      </c>
      <c r="I3" s="34">
        <f t="shared" ref="I3:I16" si="1">+D3-E3-F3</f>
        <v>43718.694065255826</v>
      </c>
    </row>
    <row r="4" spans="1:9" x14ac:dyDescent="0.3">
      <c r="A4">
        <v>2025</v>
      </c>
      <c r="B4" s="34">
        <f>+'State Wide Cost'!K5</f>
        <v>34296.881272517465</v>
      </c>
      <c r="C4" s="34">
        <f>+'State Wide Cost'!L5</f>
        <v>62296.092998688197</v>
      </c>
      <c r="D4" s="34">
        <f>+'State Wide Cost'!M5</f>
        <v>89365.997594594955</v>
      </c>
      <c r="E4" s="34"/>
      <c r="F4" s="34">
        <f>+'Extension Cost'!H4</f>
        <v>69999.999999999985</v>
      </c>
      <c r="G4" s="34">
        <f t="shared" ref="G4:G16" si="2">+B4-E4-F4</f>
        <v>-35703.118727482521</v>
      </c>
      <c r="H4" s="34">
        <f t="shared" si="0"/>
        <v>-7703.9070013117889</v>
      </c>
      <c r="I4" s="34">
        <f t="shared" si="1"/>
        <v>19365.99759459497</v>
      </c>
    </row>
    <row r="5" spans="1:9" x14ac:dyDescent="0.3">
      <c r="A5">
        <v>2026</v>
      </c>
      <c r="B5" s="34">
        <f>+'State Wide Cost'!K6</f>
        <v>87371.998343589468</v>
      </c>
      <c r="C5" s="34">
        <f>+'State Wide Cost'!L6</f>
        <v>151391.44528707743</v>
      </c>
      <c r="D5" s="34">
        <f>+'State Wide Cost'!M6</f>
        <v>212670.42050560625</v>
      </c>
      <c r="E5" s="34"/>
      <c r="F5" s="34">
        <f>+'Extension Cost'!H5</f>
        <v>70000</v>
      </c>
      <c r="G5" s="34">
        <f t="shared" si="2"/>
        <v>17371.998343589468</v>
      </c>
      <c r="H5" s="34">
        <f t="shared" si="0"/>
        <v>81391.445287077426</v>
      </c>
      <c r="I5" s="34">
        <f t="shared" si="1"/>
        <v>142670.42050560625</v>
      </c>
    </row>
    <row r="6" spans="1:9" x14ac:dyDescent="0.3">
      <c r="A6">
        <v>2027</v>
      </c>
      <c r="B6" s="34">
        <f>+'State Wide Cost'!K7</f>
        <v>33256.509669895873</v>
      </c>
      <c r="C6" s="34">
        <f>+'State Wide Cost'!L7</f>
        <v>55044.233569336182</v>
      </c>
      <c r="D6" s="34">
        <f>+'State Wide Cost'!M7</f>
        <v>75799.748808285745</v>
      </c>
      <c r="E6" s="34"/>
      <c r="F6" s="34">
        <f>+'Extension Cost'!H6</f>
        <v>69999.999999999985</v>
      </c>
      <c r="G6" s="34">
        <f t="shared" si="2"/>
        <v>-36743.490330104112</v>
      </c>
      <c r="H6" s="34">
        <f t="shared" si="0"/>
        <v>-14955.766430663803</v>
      </c>
      <c r="I6" s="34">
        <f t="shared" si="1"/>
        <v>5799.7488082857599</v>
      </c>
    </row>
    <row r="7" spans="1:9" x14ac:dyDescent="0.3">
      <c r="A7">
        <v>2028</v>
      </c>
      <c r="B7" s="34">
        <f>+'State Wide Cost'!K8</f>
        <v>183931.72262774428</v>
      </c>
      <c r="C7" s="34">
        <f>+'State Wide Cost'!L8</f>
        <v>291868.41926735954</v>
      </c>
      <c r="D7" s="34">
        <f>+'State Wide Cost'!M8</f>
        <v>394826.94719413429</v>
      </c>
      <c r="E7" s="34"/>
      <c r="F7" s="34">
        <f>+'Extension Cost'!H7</f>
        <v>70000.000000000015</v>
      </c>
      <c r="G7" s="34">
        <f t="shared" si="2"/>
        <v>113931.72262774427</v>
      </c>
      <c r="H7" s="34">
        <f t="shared" si="0"/>
        <v>221868.41926735954</v>
      </c>
      <c r="I7" s="34">
        <f t="shared" si="1"/>
        <v>324826.94719413429</v>
      </c>
    </row>
    <row r="8" spans="1:9" x14ac:dyDescent="0.3">
      <c r="A8">
        <v>2029</v>
      </c>
      <c r="B8" s="34">
        <f>+'State Wide Cost'!K9</f>
        <v>248311.85918810667</v>
      </c>
      <c r="C8" s="34">
        <f>+'State Wide Cost'!L9</f>
        <v>380321.61282356171</v>
      </c>
      <c r="D8" s="34">
        <f>+'State Wide Cost'!M9</f>
        <v>507095.48376474925</v>
      </c>
      <c r="E8" s="34"/>
      <c r="F8" s="34">
        <f>+'Extension Cost'!H8</f>
        <v>70000</v>
      </c>
      <c r="G8" s="34">
        <f t="shared" si="2"/>
        <v>178311.85918810667</v>
      </c>
      <c r="H8" s="34">
        <f t="shared" si="0"/>
        <v>310321.61282356171</v>
      </c>
      <c r="I8" s="34">
        <f t="shared" si="1"/>
        <v>437095.48376474925</v>
      </c>
    </row>
    <row r="9" spans="1:9" x14ac:dyDescent="0.3">
      <c r="A9">
        <v>2030</v>
      </c>
      <c r="B9" s="34">
        <f>+'State Wide Cost'!K10</f>
        <v>301923.80983681401</v>
      </c>
      <c r="C9" s="34">
        <f>+'State Wide Cost'!L10</f>
        <v>450637.61993587937</v>
      </c>
      <c r="D9" s="34">
        <f>+'State Wide Cost'!M10</f>
        <v>594812.1192239169</v>
      </c>
      <c r="E9" s="34"/>
      <c r="F9" s="34">
        <f>+'Extension Cost'!H9</f>
        <v>70000.000000000015</v>
      </c>
      <c r="G9" s="34">
        <f t="shared" si="2"/>
        <v>231923.80983681401</v>
      </c>
      <c r="H9" s="34">
        <f t="shared" si="0"/>
        <v>380637.61993587937</v>
      </c>
      <c r="I9" s="34">
        <f t="shared" si="1"/>
        <v>524812.1192239169</v>
      </c>
    </row>
    <row r="10" spans="1:9" x14ac:dyDescent="0.3">
      <c r="A10">
        <v>2031</v>
      </c>
      <c r="B10" s="34">
        <f>+'State Wide Cost'!K11</f>
        <v>284545.35647925158</v>
      </c>
      <c r="C10" s="34">
        <f>+'State Wide Cost'!L11</f>
        <v>418298.34438968322</v>
      </c>
      <c r="D10" s="34">
        <f>+'State Wide Cost'!M11</f>
        <v>549111.99671685242</v>
      </c>
      <c r="E10" s="34"/>
      <c r="F10" s="34">
        <f>+'Extension Cost'!H10</f>
        <v>70000</v>
      </c>
      <c r="G10" s="34">
        <f t="shared" si="2"/>
        <v>214545.35647925158</v>
      </c>
      <c r="H10" s="34">
        <f t="shared" si="0"/>
        <v>348298.34438968322</v>
      </c>
      <c r="I10" s="34">
        <f t="shared" si="1"/>
        <v>479111.99671685242</v>
      </c>
    </row>
    <row r="11" spans="1:9" x14ac:dyDescent="0.3">
      <c r="A11">
        <v>2032</v>
      </c>
      <c r="B11" s="34">
        <f>+'State Wide Cost'!K12</f>
        <v>316231.02187362005</v>
      </c>
      <c r="C11" s="34">
        <f>+'State Wide Cost'!L12</f>
        <v>462158.18546673236</v>
      </c>
      <c r="D11" s="34">
        <f>+'State Wide Cost'!M12</f>
        <v>605764.34173639421</v>
      </c>
      <c r="E11" s="34"/>
      <c r="F11" s="34">
        <f>+'Extension Cost'!H11</f>
        <v>70000.000000000015</v>
      </c>
      <c r="G11" s="34">
        <f t="shared" si="2"/>
        <v>246231.02187362005</v>
      </c>
      <c r="H11" s="34">
        <f t="shared" si="0"/>
        <v>392158.18546673236</v>
      </c>
      <c r="I11" s="34">
        <f t="shared" si="1"/>
        <v>535764.34173639421</v>
      </c>
    </row>
    <row r="12" spans="1:9" x14ac:dyDescent="0.3">
      <c r="A12">
        <v>2033</v>
      </c>
      <c r="B12" s="34">
        <f>+'State Wide Cost'!K13</f>
        <v>351102.48710918706</v>
      </c>
      <c r="C12" s="34">
        <f>+'State Wide Cost'!L13</f>
        <v>513365.71811956336</v>
      </c>
      <c r="D12" s="34">
        <f>+'State Wide Cost'!M13</f>
        <v>673653.50862518442</v>
      </c>
      <c r="E12" s="34"/>
      <c r="F12" s="34">
        <f>+'Extension Cost'!H12</f>
        <v>70000.000000000015</v>
      </c>
      <c r="G12" s="34">
        <f t="shared" si="2"/>
        <v>281102.48710918706</v>
      </c>
      <c r="H12" s="34">
        <f t="shared" si="0"/>
        <v>443365.71811956336</v>
      </c>
      <c r="I12" s="34">
        <f t="shared" si="1"/>
        <v>603653.50862518442</v>
      </c>
    </row>
    <row r="13" spans="1:9" x14ac:dyDescent="0.3">
      <c r="A13">
        <v>2034</v>
      </c>
      <c r="B13" s="34">
        <f>+'State Wide Cost'!K14</f>
        <v>442734.89459999523</v>
      </c>
      <c r="C13" s="34">
        <f>+'State Wide Cost'!L14</f>
        <v>649749.93675441318</v>
      </c>
      <c r="D13" s="34">
        <f>+'State Wide Cost'!M14</f>
        <v>854738.68908508448</v>
      </c>
      <c r="E13" s="34"/>
      <c r="F13" s="34">
        <f>+'Extension Cost'!H13</f>
        <v>70000.000000000015</v>
      </c>
      <c r="G13" s="34">
        <f t="shared" si="2"/>
        <v>372734.89459999523</v>
      </c>
      <c r="H13" s="34">
        <f t="shared" si="0"/>
        <v>579749.93675441318</v>
      </c>
      <c r="I13" s="34">
        <f t="shared" si="1"/>
        <v>784738.68908508448</v>
      </c>
    </row>
    <row r="14" spans="1:9" x14ac:dyDescent="0.3">
      <c r="A14">
        <v>2035</v>
      </c>
      <c r="B14" s="34">
        <f>+'State Wide Cost'!K15</f>
        <v>436975.95805853535</v>
      </c>
      <c r="C14" s="34">
        <f>+'State Wide Cost'!L15</f>
        <v>644301.44075127319</v>
      </c>
      <c r="D14" s="34">
        <f>+'State Wide Cost'!M15</f>
        <v>849972.28138538124</v>
      </c>
      <c r="F14" s="34">
        <f>+'Extension Cost'!H14</f>
        <v>70000.000000000015</v>
      </c>
      <c r="G14" s="34">
        <f t="shared" si="2"/>
        <v>366975.95805853535</v>
      </c>
      <c r="H14" s="34">
        <f t="shared" si="0"/>
        <v>574301.44075127319</v>
      </c>
      <c r="I14" s="34">
        <f t="shared" si="1"/>
        <v>779972.28138538124</v>
      </c>
    </row>
    <row r="15" spans="1:9" x14ac:dyDescent="0.3">
      <c r="A15">
        <v>2036</v>
      </c>
      <c r="B15" s="34">
        <f>+'State Wide Cost'!K16</f>
        <v>323652.16043795255</v>
      </c>
      <c r="C15" s="34">
        <f>+'State Wide Cost'!L16</f>
        <v>479312.02924664115</v>
      </c>
      <c r="D15" s="34">
        <f>+'State Wide Cost'!M16</f>
        <v>633970.8786905054</v>
      </c>
      <c r="F15" s="34">
        <f>+'Extension Cost'!H15</f>
        <v>70000.000000000029</v>
      </c>
      <c r="G15" s="34">
        <f t="shared" si="2"/>
        <v>253652.16043795252</v>
      </c>
      <c r="H15" s="34">
        <f t="shared" si="0"/>
        <v>409312.02924664109</v>
      </c>
      <c r="I15" s="34">
        <f t="shared" si="1"/>
        <v>563970.8786905054</v>
      </c>
    </row>
    <row r="16" spans="1:9" x14ac:dyDescent="0.3">
      <c r="A16">
        <v>2037</v>
      </c>
      <c r="B16" s="34">
        <f>+'State Wide Cost'!K17</f>
        <v>318364.20427537552</v>
      </c>
      <c r="C16" s="34">
        <f>+'State Wide Cost'!L17</f>
        <v>477546.3064130632</v>
      </c>
      <c r="D16" s="34">
        <f>+'State Wide Cost'!M17</f>
        <v>636728.40855075105</v>
      </c>
      <c r="F16" s="34">
        <f>+'Extension Cost'!H16</f>
        <v>70000.000000000015</v>
      </c>
      <c r="G16" s="34">
        <f t="shared" si="2"/>
        <v>248364.20427537552</v>
      </c>
      <c r="H16" s="34">
        <f t="shared" si="0"/>
        <v>407546.3064130632</v>
      </c>
      <c r="I16" s="34">
        <f t="shared" si="1"/>
        <v>566728.40855075105</v>
      </c>
    </row>
    <row r="17" spans="7:9" x14ac:dyDescent="0.3">
      <c r="G17" s="34">
        <f>SUM(G2:G16)</f>
        <v>1410743.2058528259</v>
      </c>
      <c r="H17" s="34">
        <f>SUM(H2:H16)</f>
        <v>3147220.7118967366</v>
      </c>
      <c r="I17" s="34">
        <f>SUM(I2:I16)</f>
        <v>4851598.0330750467</v>
      </c>
    </row>
    <row r="19" spans="7:9" x14ac:dyDescent="0.3">
      <c r="G19" s="24"/>
      <c r="H19" s="24"/>
      <c r="I19" s="2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FB11F-271A-4C8E-8FB0-34901D22AFFD}">
  <dimension ref="A1:D16"/>
  <sheetViews>
    <sheetView workbookViewId="0">
      <selection activeCell="G9" sqref="G9"/>
    </sheetView>
  </sheetViews>
  <sheetFormatPr defaultRowHeight="14.4" x14ac:dyDescent="0.3"/>
  <cols>
    <col min="2" max="2" width="10.77734375" customWidth="1"/>
    <col min="3" max="3" width="9.6640625" customWidth="1"/>
  </cols>
  <sheetData>
    <row r="1" spans="1:4" s="1" customFormat="1" ht="72" x14ac:dyDescent="0.3">
      <c r="A1" s="1" t="s">
        <v>0</v>
      </c>
      <c r="B1" s="1" t="s">
        <v>85</v>
      </c>
      <c r="C1" s="1" t="s">
        <v>86</v>
      </c>
      <c r="D1" s="1" t="s">
        <v>87</v>
      </c>
    </row>
    <row r="2" spans="1:4" x14ac:dyDescent="0.3">
      <c r="A2">
        <v>2023</v>
      </c>
      <c r="B2" s="88">
        <v>13477.227891586304</v>
      </c>
      <c r="C2" s="88">
        <v>1603.1979468841553</v>
      </c>
      <c r="D2" s="88">
        <v>6632.8385645599365</v>
      </c>
    </row>
    <row r="3" spans="1:4" x14ac:dyDescent="0.3">
      <c r="A3">
        <v>2024</v>
      </c>
      <c r="B3" s="88">
        <v>13342.455612670441</v>
      </c>
      <c r="C3" s="88">
        <v>1587.1659674153136</v>
      </c>
      <c r="D3" s="88">
        <v>6566.5101789143373</v>
      </c>
    </row>
    <row r="4" spans="1:4" x14ac:dyDescent="0.3">
      <c r="A4">
        <v>2025</v>
      </c>
      <c r="B4" s="88">
        <v>13209.031056543736</v>
      </c>
      <c r="C4" s="88">
        <v>1571.2943077411605</v>
      </c>
      <c r="D4" s="88">
        <v>6500.8450771251937</v>
      </c>
    </row>
    <row r="5" spans="1:4" x14ac:dyDescent="0.3">
      <c r="A5">
        <v>2026</v>
      </c>
      <c r="B5" s="88">
        <v>13076.940745978298</v>
      </c>
      <c r="C5" s="88">
        <v>1555.5813646637489</v>
      </c>
      <c r="D5" s="88">
        <v>6435.8366263539419</v>
      </c>
    </row>
    <row r="6" spans="1:4" x14ac:dyDescent="0.3">
      <c r="A6">
        <v>2027</v>
      </c>
      <c r="B6" s="88">
        <v>12946.171338518514</v>
      </c>
      <c r="C6" s="88">
        <v>1540.0255510171114</v>
      </c>
      <c r="D6" s="88">
        <v>6371.4782600904027</v>
      </c>
    </row>
    <row r="7" spans="1:4" x14ac:dyDescent="0.3">
      <c r="A7">
        <v>2028</v>
      </c>
      <c r="B7" s="88">
        <v>12816.709625133328</v>
      </c>
      <c r="C7" s="88">
        <v>1524.6252955069403</v>
      </c>
      <c r="D7" s="88">
        <v>6307.7634774894987</v>
      </c>
    </row>
    <row r="8" spans="1:4" x14ac:dyDescent="0.3">
      <c r="A8">
        <v>2029</v>
      </c>
      <c r="B8" s="88">
        <v>12688.542528881995</v>
      </c>
      <c r="C8" s="88">
        <v>1509.379042551871</v>
      </c>
      <c r="D8" s="88">
        <v>6244.6858427146035</v>
      </c>
    </row>
    <row r="9" spans="1:4" x14ac:dyDescent="0.3">
      <c r="A9">
        <v>2030</v>
      </c>
      <c r="B9" s="88">
        <v>12561.657103593176</v>
      </c>
      <c r="C9" s="88">
        <v>1494.2852521263521</v>
      </c>
      <c r="D9" s="88">
        <v>6182.2389842874572</v>
      </c>
    </row>
    <row r="10" spans="1:4" x14ac:dyDescent="0.3">
      <c r="A10">
        <v>2031</v>
      </c>
      <c r="B10" s="88">
        <v>12436.040532557245</v>
      </c>
      <c r="C10" s="88">
        <v>1479.3423996050885</v>
      </c>
      <c r="D10" s="88">
        <v>6120.4165944445822</v>
      </c>
    </row>
    <row r="11" spans="1:4" x14ac:dyDescent="0.3">
      <c r="A11">
        <v>2032</v>
      </c>
      <c r="B11" s="88">
        <v>12311.680127231672</v>
      </c>
      <c r="C11" s="88">
        <v>1464.5489756090376</v>
      </c>
      <c r="D11" s="88">
        <v>6059.2124285001364</v>
      </c>
    </row>
    <row r="12" spans="1:4" x14ac:dyDescent="0.3">
      <c r="A12">
        <v>2033</v>
      </c>
      <c r="B12" s="88">
        <v>12188.563325959354</v>
      </c>
      <c r="C12" s="88">
        <v>1449.9034858529471</v>
      </c>
      <c r="D12" s="88">
        <v>5998.6203042151346</v>
      </c>
    </row>
    <row r="13" spans="1:4" x14ac:dyDescent="0.3">
      <c r="A13">
        <v>2034</v>
      </c>
      <c r="B13" s="88">
        <v>12066.677692699761</v>
      </c>
      <c r="C13" s="88">
        <v>1435.4044509944176</v>
      </c>
      <c r="D13" s="88">
        <v>5938.6341011729828</v>
      </c>
    </row>
    <row r="14" spans="1:4" x14ac:dyDescent="0.3">
      <c r="A14">
        <v>2035</v>
      </c>
      <c r="B14" s="88">
        <v>11946.010915772764</v>
      </c>
      <c r="C14" s="88">
        <v>1421.0504064844733</v>
      </c>
      <c r="D14" s="88">
        <v>5879.2477601612527</v>
      </c>
    </row>
    <row r="15" spans="1:4" x14ac:dyDescent="0.3">
      <c r="A15">
        <v>2036</v>
      </c>
      <c r="B15" s="88">
        <v>11826.550806615036</v>
      </c>
      <c r="C15" s="88">
        <v>1406.8399024196285</v>
      </c>
      <c r="D15" s="88">
        <v>5820.4552825596402</v>
      </c>
    </row>
    <row r="16" spans="1:4" x14ac:dyDescent="0.3">
      <c r="A16">
        <v>2037</v>
      </c>
      <c r="B16" s="88">
        <v>11708.285298548886</v>
      </c>
      <c r="C16" s="88">
        <v>1392.7715033954323</v>
      </c>
      <c r="D16" s="88">
        <v>5762.2507297340435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302B5-69C8-47C4-B067-E629A1AD2AFA}">
  <dimension ref="A1:K17"/>
  <sheetViews>
    <sheetView tabSelected="1" workbookViewId="0">
      <selection activeCell="F2" sqref="F2:F16"/>
    </sheetView>
  </sheetViews>
  <sheetFormatPr defaultRowHeight="14.4" x14ac:dyDescent="0.3"/>
  <cols>
    <col min="2" max="2" width="13.77734375" customWidth="1"/>
    <col min="4" max="4" width="14.33203125" bestFit="1" customWidth="1"/>
    <col min="5" max="5" width="15.44140625" bestFit="1" customWidth="1"/>
    <col min="6" max="6" width="11" customWidth="1"/>
    <col min="7" max="8" width="11.33203125" customWidth="1"/>
    <col min="9" max="11" width="14.33203125" bestFit="1" customWidth="1"/>
  </cols>
  <sheetData>
    <row r="1" spans="1:11" ht="62.4" x14ac:dyDescent="0.3">
      <c r="A1" s="35" t="s">
        <v>0</v>
      </c>
      <c r="B1" s="35" t="s">
        <v>88</v>
      </c>
      <c r="C1" s="35" t="s">
        <v>89</v>
      </c>
      <c r="D1" s="35" t="s">
        <v>90</v>
      </c>
      <c r="E1" s="35" t="s">
        <v>91</v>
      </c>
      <c r="F1" s="35" t="s">
        <v>45</v>
      </c>
      <c r="G1" s="35" t="s">
        <v>48</v>
      </c>
      <c r="H1" s="35" t="s">
        <v>92</v>
      </c>
      <c r="I1" s="35" t="s">
        <v>96</v>
      </c>
      <c r="J1" s="35" t="s">
        <v>97</v>
      </c>
      <c r="K1" s="35" t="s">
        <v>98</v>
      </c>
    </row>
    <row r="2" spans="1:11" ht="15.6" x14ac:dyDescent="0.3">
      <c r="A2" s="36">
        <v>2023</v>
      </c>
      <c r="B2" s="80">
        <v>128.595</v>
      </c>
      <c r="C2" s="85">
        <f>+'Tart Cherry Acres Forecast'!B2</f>
        <v>13477.227891586304</v>
      </c>
      <c r="D2" s="80">
        <f>+B2*C2</f>
        <v>1733104.1207185409</v>
      </c>
      <c r="E2" s="86">
        <f>+D2/((1+0.05)^(A2-2022))</f>
        <v>1650575.353065277</v>
      </c>
      <c r="F2" s="39">
        <f>+'Adoption Trajectory'!B2</f>
        <v>0.01</v>
      </c>
      <c r="G2" s="39">
        <f>+'[1]Adoption trajectory'!C2</f>
        <v>0.02</v>
      </c>
      <c r="H2" s="39">
        <f>+'[1]Adoption trajectory'!D2</f>
        <v>0.03</v>
      </c>
      <c r="I2" s="80">
        <f>+F2*E2</f>
        <v>16505.753530652772</v>
      </c>
      <c r="J2" s="80">
        <f>+E2*G2</f>
        <v>33011.507061305543</v>
      </c>
      <c r="K2" s="80">
        <f>+H2*E2</f>
        <v>49517.260591958307</v>
      </c>
    </row>
    <row r="3" spans="1:11" ht="15.6" x14ac:dyDescent="0.3">
      <c r="A3" s="36">
        <v>2024</v>
      </c>
      <c r="B3" s="80">
        <v>128.595</v>
      </c>
      <c r="C3" s="85">
        <f>+'Tart Cherry Acres Forecast'!B3</f>
        <v>13342.455612670441</v>
      </c>
      <c r="D3" s="80">
        <f t="shared" ref="D3:D16" si="0">+B3*C3</f>
        <v>1715773.0795113554</v>
      </c>
      <c r="E3" s="86">
        <f t="shared" ref="E3:E16" si="1">+D3/((1+0.05)^(A3-2022))</f>
        <v>1556256.7614615469</v>
      </c>
      <c r="F3" s="39">
        <f>+'Adoption Trajectory'!B3</f>
        <v>1.659058371384171E-2</v>
      </c>
      <c r="G3" s="39">
        <f>+'[1]Adoption trajectory'!C3</f>
        <v>3.1590071061181738E-2</v>
      </c>
      <c r="H3" s="39">
        <f>+'[1]Adoption trajectory'!D3</f>
        <v>4.6293564221088809E-2</v>
      </c>
      <c r="I3" s="80">
        <f t="shared" ref="I3:I16" si="2">+F3*E3</f>
        <v>25819.208081259982</v>
      </c>
      <c r="J3" s="80">
        <f t="shared" ref="J3:J16" si="3">+E3*G3</f>
        <v>49162.261684014826</v>
      </c>
      <c r="K3" s="80">
        <f t="shared" ref="K3:K16" si="4">+H3*E3</f>
        <v>72044.672331223803</v>
      </c>
    </row>
    <row r="4" spans="1:11" ht="15.6" x14ac:dyDescent="0.3">
      <c r="A4" s="36">
        <v>2025</v>
      </c>
      <c r="B4" s="80">
        <v>92.355000000000004</v>
      </c>
      <c r="C4" s="85">
        <f>+'Tart Cherry Acres Forecast'!B4</f>
        <v>13209.031056543736</v>
      </c>
      <c r="D4" s="80">
        <f>+B4*C4</f>
        <v>1219920.0632270968</v>
      </c>
      <c r="E4" s="86">
        <f t="shared" si="1"/>
        <v>1053812.8178184617</v>
      </c>
      <c r="F4" s="39">
        <f>+'Adoption Trajectory'!B4</f>
        <v>2.7223406647669757E-2</v>
      </c>
      <c r="G4" s="39">
        <f>+'[1]Adoption trajectory'!C4</f>
        <v>4.9447990876747672E-2</v>
      </c>
      <c r="H4" s="39">
        <f>+'[1]Adoption trajectory'!D4</f>
        <v>7.0934930603786639E-2</v>
      </c>
      <c r="I4" s="80">
        <f t="shared" si="2"/>
        <v>28688.374869998708</v>
      </c>
      <c r="J4" s="80">
        <f t="shared" si="3"/>
        <v>52108.92660128705</v>
      </c>
      <c r="K4" s="80">
        <f t="shared" si="4"/>
        <v>74752.139101333436</v>
      </c>
    </row>
    <row r="5" spans="1:11" ht="15.6" x14ac:dyDescent="0.3">
      <c r="A5" s="36">
        <v>2026</v>
      </c>
      <c r="B5" s="80">
        <v>128.595</v>
      </c>
      <c r="C5" s="85">
        <f>+'Tart Cherry Acres Forecast'!B5</f>
        <v>13076.940745978298</v>
      </c>
      <c r="D5" s="80">
        <f>+B5*C5</f>
        <v>1681629.1952290791</v>
      </c>
      <c r="E5" s="86">
        <f>+D5/((1+0.05)^(A5-2022))</f>
        <v>1383480.5005972441</v>
      </c>
      <c r="F5" s="39">
        <f>+'Adoption Trajectory'!B5</f>
        <v>4.3890662865978945E-2</v>
      </c>
      <c r="G5" s="39">
        <f>+'[1]Adoption trajectory'!C5</f>
        <v>7.6050348073284466E-2</v>
      </c>
      <c r="H5" s="39">
        <f>+'[1]Adoption trajectory'!D5</f>
        <v>0.10683337802656999</v>
      </c>
      <c r="I5" s="80">
        <f>+F5*E5</f>
        <v>60721.876233369425</v>
      </c>
      <c r="J5" s="80">
        <f t="shared" si="3"/>
        <v>105214.17362302226</v>
      </c>
      <c r="K5" s="80">
        <f t="shared" si="4"/>
        <v>147801.89531269367</v>
      </c>
    </row>
    <row r="6" spans="1:11" ht="15.6" x14ac:dyDescent="0.3">
      <c r="A6" s="36">
        <v>2027</v>
      </c>
      <c r="B6" s="80">
        <v>29.545000000000002</v>
      </c>
      <c r="C6" s="85">
        <f>+'Tart Cherry Acres Forecast'!B6</f>
        <v>12946.171338518514</v>
      </c>
      <c r="D6" s="80">
        <f t="shared" si="0"/>
        <v>382494.63219652954</v>
      </c>
      <c r="E6" s="86">
        <f t="shared" si="1"/>
        <v>299694.55285971001</v>
      </c>
      <c r="F6" s="39">
        <f>+'Adoption Trajectory'!B6</f>
        <v>6.8876848756818654E-2</v>
      </c>
      <c r="G6" s="39">
        <f>+'[1]Adoption trajectory'!C6</f>
        <v>0.11400093960918775</v>
      </c>
      <c r="H6" s="39">
        <f>+'[1]Adoption trajectory'!D6</f>
        <v>0.15698724509262335</v>
      </c>
      <c r="I6" s="80">
        <f t="shared" si="2"/>
        <v>20642.016390560639</v>
      </c>
      <c r="J6" s="80">
        <f t="shared" si="3"/>
        <v>34165.46062176233</v>
      </c>
      <c r="K6" s="80">
        <f t="shared" si="4"/>
        <v>47048.222222711462</v>
      </c>
    </row>
    <row r="7" spans="1:11" ht="15.6" x14ac:dyDescent="0.3">
      <c r="A7" s="36">
        <v>2028</v>
      </c>
      <c r="B7" s="80">
        <v>128.595</v>
      </c>
      <c r="C7" s="85">
        <f>+'Tart Cherry Acres Forecast'!B7</f>
        <v>12816.709625133328</v>
      </c>
      <c r="D7" s="80">
        <f t="shared" si="0"/>
        <v>1648164.7742440202</v>
      </c>
      <c r="E7" s="86">
        <f t="shared" si="1"/>
        <v>1229885.9307350195</v>
      </c>
      <c r="F7" s="39">
        <f>+'Adoption Trajectory'!B7</f>
        <v>0.10393569351944917</v>
      </c>
      <c r="G7" s="39">
        <f>+'[1]Adoption trajectory'!C7</f>
        <v>0.16492830132610611</v>
      </c>
      <c r="H7" s="39">
        <f>+'[1]Adoption trajectory'!D7</f>
        <v>0.22310785758170959</v>
      </c>
      <c r="I7" s="80">
        <f t="shared" si="2"/>
        <v>127829.04716075749</v>
      </c>
      <c r="J7" s="80">
        <f t="shared" si="3"/>
        <v>202842.99738100378</v>
      </c>
      <c r="K7" s="80">
        <f t="shared" si="4"/>
        <v>274397.21507617709</v>
      </c>
    </row>
    <row r="8" spans="1:11" ht="15.6" x14ac:dyDescent="0.3">
      <c r="A8" s="36">
        <v>2029</v>
      </c>
      <c r="B8" s="80">
        <v>128.595</v>
      </c>
      <c r="C8" s="85">
        <f>+'Tart Cherry Acres Forecast'!B8</f>
        <v>12688.542528881995</v>
      </c>
      <c r="D8" s="80">
        <f t="shared" si="0"/>
        <v>1631683.1265015802</v>
      </c>
      <c r="E8" s="86">
        <f t="shared" si="1"/>
        <v>1159606.7346930183</v>
      </c>
      <c r="F8" s="39">
        <f>+'Adoption Trajectory'!B8</f>
        <v>0.14881943318154645</v>
      </c>
      <c r="G8" s="39">
        <f>+'[1]Adoption trajectory'!C8</f>
        <v>0.22793614059414585</v>
      </c>
      <c r="H8" s="39">
        <f>+'[1]Adoption trajectory'!D8</f>
        <v>0.30391485412552793</v>
      </c>
      <c r="I8" s="80">
        <f t="shared" si="2"/>
        <v>172572.01697051889</v>
      </c>
      <c r="J8" s="80">
        <f t="shared" si="3"/>
        <v>264316.28371290618</v>
      </c>
      <c r="K8" s="80">
        <f t="shared" si="4"/>
        <v>352421.71161720844</v>
      </c>
    </row>
    <row r="9" spans="1:11" ht="15.6" x14ac:dyDescent="0.3">
      <c r="A9" s="36">
        <v>2030</v>
      </c>
      <c r="B9" s="80">
        <v>128.595</v>
      </c>
      <c r="C9" s="85">
        <f>+'Tart Cherry Acres Forecast'!B9</f>
        <v>12561.657103593176</v>
      </c>
      <c r="D9" s="80">
        <f t="shared" si="0"/>
        <v>1615366.2952365645</v>
      </c>
      <c r="E9" s="86">
        <f t="shared" si="1"/>
        <v>1093343.4927105603</v>
      </c>
      <c r="F9" s="39">
        <f>+'Adoption Trajectory'!B9</f>
        <v>0.19999275920000315</v>
      </c>
      <c r="G9" s="39">
        <f>+'[1]Adoption trajectory'!C9</f>
        <v>0.29850001249987496</v>
      </c>
      <c r="H9" s="39">
        <f>+'[1]Adoption trajectory'!D9</f>
        <v>0.39400044995950373</v>
      </c>
      <c r="I9" s="80">
        <f t="shared" si="2"/>
        <v>218660.78186055348</v>
      </c>
      <c r="J9" s="80">
        <f t="shared" si="3"/>
        <v>326363.0462407592</v>
      </c>
      <c r="K9" s="80">
        <f t="shared" si="4"/>
        <v>430777.82808825618</v>
      </c>
    </row>
    <row r="10" spans="1:11" ht="15.6" x14ac:dyDescent="0.3">
      <c r="A10" s="36">
        <v>2031</v>
      </c>
      <c r="B10" s="80">
        <v>92.355000000000004</v>
      </c>
      <c r="C10" s="85">
        <f>+'Tart Cherry Acres Forecast'!B10</f>
        <v>12436.040532557245</v>
      </c>
      <c r="D10" s="80">
        <f t="shared" si="0"/>
        <v>1148530.5233843243</v>
      </c>
      <c r="E10" s="86">
        <f t="shared" si="1"/>
        <v>740353.0159218288</v>
      </c>
      <c r="F10" s="39">
        <f>+'Adoption Trajectory'!B10</f>
        <v>0.25116703331353935</v>
      </c>
      <c r="G10" s="39">
        <f>+'[1]Adoption trajectory'!C10</f>
        <v>0.36923025383470931</v>
      </c>
      <c r="H10" s="39">
        <f>+'[1]Adoption trajectory'!D10</f>
        <v>0.48469893474540854</v>
      </c>
      <c r="I10" s="80">
        <f t="shared" si="2"/>
        <v>185952.27061381729</v>
      </c>
      <c r="J10" s="80">
        <f t="shared" si="3"/>
        <v>273360.73199610942</v>
      </c>
      <c r="K10" s="80">
        <f t="shared" si="4"/>
        <v>358848.31815286091</v>
      </c>
    </row>
    <row r="11" spans="1:11" ht="15.6" x14ac:dyDescent="0.3">
      <c r="A11" s="36">
        <v>2032</v>
      </c>
      <c r="B11" s="80">
        <v>92.355000000000004</v>
      </c>
      <c r="C11" s="85">
        <f>+'Tart Cherry Acres Forecast'!B11</f>
        <v>12311.680127231672</v>
      </c>
      <c r="D11" s="80">
        <f t="shared" si="0"/>
        <v>1137045.2181504811</v>
      </c>
      <c r="E11" s="86">
        <f t="shared" si="1"/>
        <v>698047.12929772434</v>
      </c>
      <c r="F11" s="39">
        <f>+'Adoption Trajectory'!B11</f>
        <v>0.29605316552528627</v>
      </c>
      <c r="G11" s="39">
        <f>+'[1]Adoption trajectory'!C11</f>
        <v>0.43266910681371784</v>
      </c>
      <c r="H11" s="39">
        <f>+'[1]Adoption trajectory'!D11</f>
        <v>0.56711213805289606</v>
      </c>
      <c r="I11" s="80">
        <f t="shared" si="2"/>
        <v>206659.06231443008</v>
      </c>
      <c r="J11" s="80">
        <f t="shared" si="3"/>
        <v>302023.42794712621</v>
      </c>
      <c r="K11" s="80">
        <f t="shared" si="4"/>
        <v>395870.99995771883</v>
      </c>
    </row>
    <row r="12" spans="1:11" ht="15.6" x14ac:dyDescent="0.3">
      <c r="A12" s="36">
        <v>2033</v>
      </c>
      <c r="B12" s="80">
        <v>92.355000000000004</v>
      </c>
      <c r="C12" s="85">
        <f>+'Tart Cherry Acres Forecast'!B12</f>
        <v>12188.563325959354</v>
      </c>
      <c r="D12" s="80">
        <f t="shared" si="0"/>
        <v>1125674.7659689763</v>
      </c>
      <c r="E12" s="86">
        <f t="shared" si="1"/>
        <v>658158.72190928285</v>
      </c>
      <c r="F12" s="39">
        <f>+'Adoption Trajectory'!B12</f>
        <v>0.33111489390658277</v>
      </c>
      <c r="G12" s="39">
        <f>+'[1]Adoption trajectory'!C12</f>
        <v>0.48414078946007005</v>
      </c>
      <c r="H12" s="39">
        <f>+'[1]Adoption trajectory'!D12</f>
        <v>0.63530370255924218</v>
      </c>
      <c r="I12" s="80">
        <f t="shared" si="2"/>
        <v>217926.15537868431</v>
      </c>
      <c r="J12" s="80">
        <f t="shared" si="3"/>
        <v>318641.48321519088</v>
      </c>
      <c r="K12" s="80">
        <f t="shared" si="4"/>
        <v>418130.67290062603</v>
      </c>
    </row>
    <row r="13" spans="1:11" ht="15.6" x14ac:dyDescent="0.3">
      <c r="A13" s="36">
        <v>2034</v>
      </c>
      <c r="B13" s="80">
        <v>128.595</v>
      </c>
      <c r="C13" s="85">
        <f>+'Tart Cherry Acres Forecast'!B13</f>
        <v>12066.677692699761</v>
      </c>
      <c r="D13" s="80">
        <f t="shared" si="0"/>
        <v>1551714.4178927257</v>
      </c>
      <c r="E13" s="86">
        <f t="shared" si="1"/>
        <v>864052.65020828007</v>
      </c>
      <c r="F13" s="39">
        <f>+'Adoption Trajectory'!B13</f>
        <v>0.35610367817430466</v>
      </c>
      <c r="G13" s="39">
        <f>+'[1]Adoption trajectory'!C13</f>
        <v>0.52261148871225849</v>
      </c>
      <c r="H13" s="39">
        <f>+'[1]Adoption trajectory'!D13</f>
        <v>0.68748949941269277</v>
      </c>
      <c r="I13" s="80">
        <f t="shared" si="2"/>
        <v>307692.32687542442</v>
      </c>
      <c r="J13" s="80">
        <f t="shared" si="3"/>
        <v>451563.84185112157</v>
      </c>
      <c r="K13" s="80">
        <f t="shared" si="4"/>
        <v>594027.12395790103</v>
      </c>
    </row>
    <row r="14" spans="1:11" ht="15.6" x14ac:dyDescent="0.3">
      <c r="A14" s="36">
        <v>2035</v>
      </c>
      <c r="B14" s="80">
        <v>128.595</v>
      </c>
      <c r="C14" s="85">
        <f>+'Tart Cherry Acres Forecast'!B14</f>
        <v>11946.010915772764</v>
      </c>
      <c r="D14" s="80">
        <f t="shared" si="0"/>
        <v>1536197.2737137985</v>
      </c>
      <c r="E14" s="86">
        <f t="shared" si="1"/>
        <v>814678.213053521</v>
      </c>
      <c r="F14" s="39">
        <f>+'Adoption Trajectory'!B14</f>
        <v>0.37277291905050985</v>
      </c>
      <c r="G14" s="39">
        <f>+'[1]Adoption trajectory'!C14</f>
        <v>0.54963694086146508</v>
      </c>
      <c r="H14" s="39">
        <f>+'[1]Adoption trajectory'!D14</f>
        <v>0.72508943020981154</v>
      </c>
      <c r="I14" s="80">
        <f t="shared" si="2"/>
        <v>303689.97556681419</v>
      </c>
      <c r="J14" s="80">
        <f t="shared" si="3"/>
        <v>447777.24080922216</v>
      </c>
      <c r="K14" s="80">
        <f t="shared" si="4"/>
        <v>590714.56130732503</v>
      </c>
    </row>
    <row r="15" spans="1:11" ht="15.6" x14ac:dyDescent="0.3">
      <c r="A15" s="36">
        <v>2036</v>
      </c>
      <c r="B15" s="80">
        <v>92.355000000000004</v>
      </c>
      <c r="C15" s="85">
        <f>+'Tart Cherry Acres Forecast'!B15</f>
        <v>11826.550806615036</v>
      </c>
      <c r="D15" s="80">
        <f t="shared" si="0"/>
        <v>1092241.0997449318</v>
      </c>
      <c r="E15" s="86">
        <f t="shared" si="1"/>
        <v>551655.97642574704</v>
      </c>
      <c r="F15" s="39">
        <f>+'Adoption Trajectory'!B15</f>
        <v>0.38340711320185616</v>
      </c>
      <c r="G15" s="39">
        <f>+'[1]Adoption trajectory'!C15</f>
        <v>0.56780600879569676</v>
      </c>
      <c r="H15" s="39">
        <f>+'[1]Adoption trajectory'!D15</f>
        <v>0.75101906974407373</v>
      </c>
      <c r="I15" s="80">
        <f t="shared" si="2"/>
        <v>211508.8254019469</v>
      </c>
      <c r="J15" s="80">
        <f t="shared" si="3"/>
        <v>313233.5782025964</v>
      </c>
      <c r="K15" s="80">
        <f t="shared" si="4"/>
        <v>414304.1582340232</v>
      </c>
    </row>
    <row r="16" spans="1:11" ht="15.6" x14ac:dyDescent="0.3">
      <c r="A16" s="36">
        <v>2037</v>
      </c>
      <c r="B16" s="80">
        <v>92.355000000000004</v>
      </c>
      <c r="C16" s="85">
        <f>+'Tart Cherry Acres Forecast'!B16</f>
        <v>11708.285298548886</v>
      </c>
      <c r="D16" s="80">
        <f t="shared" si="0"/>
        <v>1081318.6887474824</v>
      </c>
      <c r="E16" s="86">
        <f t="shared" si="1"/>
        <v>520132.77777284698</v>
      </c>
      <c r="F16" s="39">
        <f>+'Adoption Trajectory'!B16</f>
        <v>0.4</v>
      </c>
      <c r="G16" s="39">
        <f>+'[1]Adoption trajectory'!C16</f>
        <v>0.6</v>
      </c>
      <c r="H16" s="39">
        <f>+'[1]Adoption trajectory'!D16</f>
        <v>0.8</v>
      </c>
      <c r="I16" s="80">
        <f t="shared" si="2"/>
        <v>208053.11110913882</v>
      </c>
      <c r="J16" s="80">
        <f t="shared" si="3"/>
        <v>312079.66666370817</v>
      </c>
      <c r="K16" s="80">
        <f t="shared" si="4"/>
        <v>416106.22221827763</v>
      </c>
    </row>
    <row r="17" spans="1:11" ht="15.6" x14ac:dyDescent="0.3">
      <c r="A17" s="36"/>
      <c r="B17" s="42"/>
      <c r="C17" s="42"/>
      <c r="D17" s="42"/>
      <c r="E17" s="42"/>
      <c r="F17" s="42"/>
      <c r="G17" s="42"/>
      <c r="H17" s="42"/>
      <c r="I17" s="87">
        <f>SUM(I2:I16)</f>
        <v>2312920.8023579274</v>
      </c>
      <c r="J17" s="87">
        <f>SUM(J2:J16)</f>
        <v>3485864.6276111361</v>
      </c>
      <c r="K17" s="87">
        <f>SUM(K2:K16)</f>
        <v>4636763.0010702955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FBB30-96C8-46DE-8C7B-E73C9A2A48CB}">
  <dimension ref="A1:K17"/>
  <sheetViews>
    <sheetView topLeftCell="A5" workbookViewId="0">
      <selection activeCell="F2" sqref="F2:F16"/>
    </sheetView>
  </sheetViews>
  <sheetFormatPr defaultRowHeight="14.4" x14ac:dyDescent="0.3"/>
  <cols>
    <col min="1" max="1" width="8.88671875" style="2"/>
    <col min="3" max="3" width="10.109375" bestFit="1" customWidth="1"/>
    <col min="4" max="4" width="12.5546875" bestFit="1" customWidth="1"/>
    <col min="6" max="6" width="12.33203125" bestFit="1" customWidth="1"/>
    <col min="9" max="9" width="22.21875" bestFit="1" customWidth="1"/>
    <col min="10" max="10" width="17.6640625" bestFit="1" customWidth="1"/>
    <col min="11" max="11" width="19" bestFit="1" customWidth="1"/>
  </cols>
  <sheetData>
    <row r="1" spans="1:11" s="81" customFormat="1" ht="86.4" x14ac:dyDescent="0.3">
      <c r="A1" s="1" t="s">
        <v>0</v>
      </c>
      <c r="B1" s="1" t="s">
        <v>88</v>
      </c>
      <c r="C1" s="1" t="s">
        <v>89</v>
      </c>
      <c r="D1" s="1" t="s">
        <v>90</v>
      </c>
      <c r="E1" s="1" t="s">
        <v>91</v>
      </c>
      <c r="F1" s="1" t="s">
        <v>45</v>
      </c>
      <c r="G1" s="1" t="s">
        <v>48</v>
      </c>
      <c r="H1" s="1" t="s">
        <v>92</v>
      </c>
      <c r="I1" s="1" t="s">
        <v>93</v>
      </c>
      <c r="J1" s="1" t="s">
        <v>94</v>
      </c>
      <c r="K1" s="1" t="s">
        <v>95</v>
      </c>
    </row>
    <row r="2" spans="1:11" x14ac:dyDescent="0.3">
      <c r="A2" s="2">
        <v>2023</v>
      </c>
      <c r="B2" s="82">
        <v>92.355000000000004</v>
      </c>
      <c r="C2" s="83">
        <f>+'Tart Cherry Acres Forecast'!C2</f>
        <v>1603.1979468841553</v>
      </c>
      <c r="D2" s="82">
        <f>+B2*C2</f>
        <v>148063.34638448615</v>
      </c>
      <c r="E2">
        <f>+D2/((1+0.05)^(A2-2022))</f>
        <v>141012.71084236776</v>
      </c>
      <c r="F2" s="24">
        <f>+'Adoption Trajectory'!B2</f>
        <v>0.01</v>
      </c>
      <c r="G2" s="24">
        <f>+'[1]Adoption trajectory'!C2</f>
        <v>0.02</v>
      </c>
      <c r="H2" s="24">
        <f>+'[1]Adoption trajectory'!D2</f>
        <v>0.03</v>
      </c>
      <c r="I2" s="82">
        <f>+F2*E2</f>
        <v>1410.1271084236776</v>
      </c>
      <c r="J2" s="82">
        <f>+E2*G2</f>
        <v>2820.2542168473551</v>
      </c>
      <c r="K2" s="82">
        <f>+H2*E2</f>
        <v>4230.3813252710324</v>
      </c>
    </row>
    <row r="3" spans="1:11" x14ac:dyDescent="0.3">
      <c r="A3" s="2">
        <v>2024</v>
      </c>
      <c r="B3" s="82">
        <v>92.355000000000004</v>
      </c>
      <c r="C3" s="83">
        <f>+'Tart Cherry Acres Forecast'!C3</f>
        <v>1587.1659674153136</v>
      </c>
      <c r="D3" s="82">
        <f>+B3*C2</f>
        <v>148063.34638448615</v>
      </c>
      <c r="E3">
        <f t="shared" ref="E3:E16" si="0">+D3/((1+0.05)^(A3-2022))</f>
        <v>134297.81984987407</v>
      </c>
      <c r="F3" s="24">
        <f>+'Adoption Trajectory'!B3</f>
        <v>1.659058371384171E-2</v>
      </c>
      <c r="G3" s="24">
        <f>+'[1]Adoption trajectory'!C3</f>
        <v>3.1590071061181738E-2</v>
      </c>
      <c r="H3" s="24">
        <f>+'[1]Adoption trajectory'!D3</f>
        <v>4.6293564221088809E-2</v>
      </c>
      <c r="I3" s="82">
        <f t="shared" ref="I3:I16" si="1">+F3*E3</f>
        <v>2228.0792228057685</v>
      </c>
      <c r="J3" s="82">
        <f t="shared" ref="J3:J16" si="2">+E3*G3</f>
        <v>4242.4776724193052</v>
      </c>
      <c r="K3" s="82">
        <f t="shared" ref="K3:K16" si="3">+H3*E3</f>
        <v>6217.1247479723606</v>
      </c>
    </row>
    <row r="4" spans="1:11" x14ac:dyDescent="0.3">
      <c r="A4" s="2">
        <v>2025</v>
      </c>
      <c r="B4" s="82">
        <v>29.545000000000002</v>
      </c>
      <c r="C4" s="83">
        <f>+'Tart Cherry Acres Forecast'!C4</f>
        <v>1571.2943077411605</v>
      </c>
      <c r="D4" s="82">
        <f t="shared" ref="D4:D16" si="4">+B4*C4</f>
        <v>46423.890322212588</v>
      </c>
      <c r="E4">
        <f t="shared" si="0"/>
        <v>40102.701930428753</v>
      </c>
      <c r="F4" s="24">
        <f>+'Adoption Trajectory'!B4</f>
        <v>2.7223406647669757E-2</v>
      </c>
      <c r="G4" s="24">
        <f>+'[1]Adoption trajectory'!C4</f>
        <v>4.9447990876747672E-2</v>
      </c>
      <c r="H4" s="24">
        <f>+'[1]Adoption trajectory'!D4</f>
        <v>7.0934930603786639E-2</v>
      </c>
      <c r="I4" s="82">
        <f t="shared" si="1"/>
        <v>1091.7321623223529</v>
      </c>
      <c r="J4" s="82">
        <f t="shared" si="2"/>
        <v>1982.9980391887723</v>
      </c>
      <c r="K4" s="82">
        <f t="shared" si="3"/>
        <v>2844.6823784593039</v>
      </c>
    </row>
    <row r="5" spans="1:11" x14ac:dyDescent="0.3">
      <c r="A5" s="2">
        <v>2026</v>
      </c>
      <c r="B5" s="82">
        <v>92.355000000000004</v>
      </c>
      <c r="C5" s="83">
        <f>+'Tart Cherry Acres Forecast'!C5</f>
        <v>1555.5813646637489</v>
      </c>
      <c r="D5" s="82">
        <f t="shared" si="4"/>
        <v>143665.71693352054</v>
      </c>
      <c r="E5">
        <f t="shared" si="0"/>
        <v>118194.14086395733</v>
      </c>
      <c r="F5" s="24">
        <f>+'Adoption Trajectory'!B5</f>
        <v>4.3890662865978945E-2</v>
      </c>
      <c r="G5" s="24">
        <f>+'[1]Adoption trajectory'!C5</f>
        <v>7.6050348073284466E-2</v>
      </c>
      <c r="H5" s="24">
        <f>+'[1]Adoption trajectory'!D5</f>
        <v>0.10683337802656999</v>
      </c>
      <c r="I5" s="82">
        <f t="shared" si="1"/>
        <v>5187.6191893939767</v>
      </c>
      <c r="J5" s="82">
        <f t="shared" si="2"/>
        <v>8988.7055529267709</v>
      </c>
      <c r="K5" s="82">
        <f t="shared" si="3"/>
        <v>12627.079331444818</v>
      </c>
    </row>
    <row r="6" spans="1:11" x14ac:dyDescent="0.3">
      <c r="A6" s="2">
        <v>2027</v>
      </c>
      <c r="B6" s="82">
        <v>29.545000000000002</v>
      </c>
      <c r="C6" s="83">
        <f>+'Tart Cherry Acres Forecast'!C6</f>
        <v>1540.0255510171114</v>
      </c>
      <c r="D6" s="82">
        <f t="shared" si="4"/>
        <v>45500.054904800556</v>
      </c>
      <c r="E6">
        <f t="shared" si="0"/>
        <v>35650.483593662786</v>
      </c>
      <c r="F6" s="24">
        <f>+'Adoption Trajectory'!B6</f>
        <v>6.8876848756818654E-2</v>
      </c>
      <c r="G6" s="24">
        <f>+'[1]Adoption trajectory'!C6</f>
        <v>0.11400093960918775</v>
      </c>
      <c r="H6" s="24">
        <f>+'[1]Adoption trajectory'!D6</f>
        <v>0.15698724509262335</v>
      </c>
      <c r="I6" s="82">
        <f t="shared" si="1"/>
        <v>2455.4929665881564</v>
      </c>
      <c r="J6" s="82">
        <f t="shared" si="2"/>
        <v>4064.1886271994899</v>
      </c>
      <c r="K6" s="82">
        <f t="shared" si="3"/>
        <v>5596.6712055888875</v>
      </c>
    </row>
    <row r="7" spans="1:11" x14ac:dyDescent="0.3">
      <c r="A7" s="2">
        <v>2028</v>
      </c>
      <c r="B7" s="82">
        <v>92.355000000000004</v>
      </c>
      <c r="C7" s="83">
        <f>+'Tart Cherry Acres Forecast'!C7</f>
        <v>1524.6252955069403</v>
      </c>
      <c r="D7" s="82">
        <f t="shared" si="4"/>
        <v>140806.76916654347</v>
      </c>
      <c r="E7">
        <f t="shared" si="0"/>
        <v>105072.17910273431</v>
      </c>
      <c r="F7" s="24">
        <f>+'Adoption Trajectory'!B7</f>
        <v>0.10393569351944917</v>
      </c>
      <c r="G7" s="24">
        <f>+'[1]Adoption trajectory'!C7</f>
        <v>0.16492830132610611</v>
      </c>
      <c r="H7" s="24">
        <f>+'[1]Adoption trajectory'!D7</f>
        <v>0.22310785758170959</v>
      </c>
      <c r="I7" s="82">
        <f t="shared" si="1"/>
        <v>10920.749804642466</v>
      </c>
      <c r="J7" s="82">
        <f t="shared" si="2"/>
        <v>17329.376016046353</v>
      </c>
      <c r="K7" s="82">
        <f t="shared" si="3"/>
        <v>23442.428771052731</v>
      </c>
    </row>
    <row r="8" spans="1:11" x14ac:dyDescent="0.3">
      <c r="A8" s="2">
        <v>2029</v>
      </c>
      <c r="B8" s="82">
        <v>92.355000000000004</v>
      </c>
      <c r="C8" s="83">
        <f>+'Tart Cherry Acres Forecast'!C8</f>
        <v>1509.379042551871</v>
      </c>
      <c r="D8" s="82">
        <f t="shared" si="4"/>
        <v>139398.70147487803</v>
      </c>
      <c r="E8">
        <f t="shared" si="0"/>
        <v>99068.054582578043</v>
      </c>
      <c r="F8" s="24">
        <f>+'Adoption Trajectory'!B8</f>
        <v>0.14881943318154645</v>
      </c>
      <c r="G8" s="24">
        <f>+'[1]Adoption trajectory'!C8</f>
        <v>0.22793614059414585</v>
      </c>
      <c r="H8" s="24">
        <f>+'[1]Adoption trajectory'!D8</f>
        <v>0.30391485412552793</v>
      </c>
      <c r="I8" s="82">
        <f t="shared" si="1"/>
        <v>14743.251729377769</v>
      </c>
      <c r="J8" s="82">
        <f t="shared" si="2"/>
        <v>22581.190017723024</v>
      </c>
      <c r="K8" s="82">
        <f t="shared" si="3"/>
        <v>30108.253356964044</v>
      </c>
    </row>
    <row r="9" spans="1:11" x14ac:dyDescent="0.3">
      <c r="A9" s="2">
        <v>2030</v>
      </c>
      <c r="B9" s="82">
        <v>29.545000000000002</v>
      </c>
      <c r="C9" s="83">
        <f>+'Tart Cherry Acres Forecast'!C9</f>
        <v>1494.2852521263521</v>
      </c>
      <c r="D9" s="82">
        <f t="shared" si="4"/>
        <v>44148.657774073079</v>
      </c>
      <c r="E9">
        <f t="shared" si="0"/>
        <v>29881.549362226462</v>
      </c>
      <c r="F9" s="24">
        <f>+'Adoption Trajectory'!B9</f>
        <v>0.19999275920000315</v>
      </c>
      <c r="G9" s="24">
        <f>+'[1]Adoption trajectory'!C9</f>
        <v>0.29850001249987496</v>
      </c>
      <c r="H9" s="24">
        <f>+'[1]Adoption trajectory'!D9</f>
        <v>0.39400044995950373</v>
      </c>
      <c r="I9" s="82">
        <f t="shared" si="1"/>
        <v>5976.0935061227647</v>
      </c>
      <c r="J9" s="82">
        <f t="shared" si="2"/>
        <v>8919.6428581402288</v>
      </c>
      <c r="K9" s="82">
        <f t="shared" si="3"/>
        <v>11773.343894204349</v>
      </c>
    </row>
    <row r="10" spans="1:11" x14ac:dyDescent="0.3">
      <c r="A10" s="2">
        <v>2031</v>
      </c>
      <c r="B10" s="82">
        <v>29.545000000000002</v>
      </c>
      <c r="C10" s="83">
        <f>+'Tart Cherry Acres Forecast'!C10</f>
        <v>1479.3423996050885</v>
      </c>
      <c r="D10" s="82">
        <f t="shared" si="4"/>
        <v>43707.17119633234</v>
      </c>
      <c r="E10">
        <f t="shared" si="0"/>
        <v>28174.032255813516</v>
      </c>
      <c r="F10" s="24">
        <f>+'Adoption Trajectory'!B10</f>
        <v>0.25116703331353935</v>
      </c>
      <c r="G10" s="24">
        <f>+'[1]Adoption trajectory'!C10</f>
        <v>0.36923025383470931</v>
      </c>
      <c r="H10" s="24">
        <f>+'[1]Adoption trajectory'!D10</f>
        <v>0.48469893474540854</v>
      </c>
      <c r="I10" s="82">
        <f t="shared" si="1"/>
        <v>7076.3880981726452</v>
      </c>
      <c r="J10" s="82">
        <f t="shared" si="2"/>
        <v>10402.705081361311</v>
      </c>
      <c r="K10" s="82">
        <f t="shared" si="3"/>
        <v>13655.92342187559</v>
      </c>
    </row>
    <row r="11" spans="1:11" x14ac:dyDescent="0.3">
      <c r="A11" s="2">
        <v>2032</v>
      </c>
      <c r="B11" s="82">
        <v>29.545000000000002</v>
      </c>
      <c r="C11" s="83">
        <f>+'Tart Cherry Acres Forecast'!C11</f>
        <v>1464.5489756090376</v>
      </c>
      <c r="D11" s="82">
        <f t="shared" si="4"/>
        <v>43270.099484369021</v>
      </c>
      <c r="E11">
        <f t="shared" si="0"/>
        <v>26564.087555481317</v>
      </c>
      <c r="F11" s="24">
        <f>+'Adoption Trajectory'!B11</f>
        <v>0.29605316552528627</v>
      </c>
      <c r="G11" s="24">
        <f>+'[1]Adoption trajectory'!C11</f>
        <v>0.43266910681371784</v>
      </c>
      <c r="H11" s="24">
        <f>+'[1]Adoption trajectory'!D11</f>
        <v>0.56711213805289606</v>
      </c>
      <c r="I11" s="82">
        <f t="shared" si="1"/>
        <v>7864.3822100911075</v>
      </c>
      <c r="J11" s="82">
        <f t="shared" si="2"/>
        <v>11493.460035951499</v>
      </c>
      <c r="K11" s="82">
        <f t="shared" si="3"/>
        <v>15064.816489013339</v>
      </c>
    </row>
    <row r="12" spans="1:11" x14ac:dyDescent="0.3">
      <c r="A12" s="2">
        <v>2033</v>
      </c>
      <c r="B12" s="82">
        <v>92.355000000000004</v>
      </c>
      <c r="C12" s="83">
        <f>+'Tart Cherry Acres Forecast'!C12</f>
        <v>1449.9034858529471</v>
      </c>
      <c r="D12" s="82">
        <f t="shared" si="4"/>
        <v>133905.83643594894</v>
      </c>
      <c r="E12">
        <f t="shared" si="0"/>
        <v>78291.969251895396</v>
      </c>
      <c r="F12" s="24">
        <f>+'Adoption Trajectory'!B12</f>
        <v>0.33111489390658277</v>
      </c>
      <c r="G12" s="24">
        <f>+'[1]Adoption trajectory'!C12</f>
        <v>0.48414078946007005</v>
      </c>
      <c r="H12" s="24">
        <f>+'[1]Adoption trajectory'!D12</f>
        <v>0.63530370255924218</v>
      </c>
      <c r="I12" s="82">
        <f t="shared" si="1"/>
        <v>25923.637092578785</v>
      </c>
      <c r="J12" s="82">
        <f t="shared" si="2"/>
        <v>37904.335801996167</v>
      </c>
      <c r="K12" s="82">
        <f t="shared" si="3"/>
        <v>49739.17794638349</v>
      </c>
    </row>
    <row r="13" spans="1:11" x14ac:dyDescent="0.3">
      <c r="A13" s="2">
        <v>2034</v>
      </c>
      <c r="B13" s="82">
        <v>92.355000000000004</v>
      </c>
      <c r="C13" s="83">
        <f>+'Tart Cherry Acres Forecast'!C13</f>
        <v>1435.4044509944176</v>
      </c>
      <c r="D13" s="82">
        <f t="shared" si="4"/>
        <v>132566.77807158945</v>
      </c>
      <c r="E13">
        <f t="shared" si="0"/>
        <v>73818.142437501374</v>
      </c>
      <c r="F13" s="24">
        <f>+'Adoption Trajectory'!B13</f>
        <v>0.35610367817430466</v>
      </c>
      <c r="G13" s="24">
        <f>+'[1]Adoption trajectory'!C13</f>
        <v>0.52261148871225849</v>
      </c>
      <c r="H13" s="24">
        <f>+'[1]Adoption trajectory'!D13</f>
        <v>0.68748949941269277</v>
      </c>
      <c r="I13" s="82">
        <f t="shared" si="1"/>
        <v>26286.912037988972</v>
      </c>
      <c r="J13" s="82">
        <f t="shared" si="2"/>
        <v>38578.209313236141</v>
      </c>
      <c r="K13" s="82">
        <f t="shared" si="3"/>
        <v>50749.197791932675</v>
      </c>
    </row>
    <row r="14" spans="1:11" x14ac:dyDescent="0.3">
      <c r="A14" s="2">
        <v>2035</v>
      </c>
      <c r="B14" s="82">
        <v>92.355000000000004</v>
      </c>
      <c r="C14" s="83">
        <f>+'Tart Cherry Acres Forecast'!C14</f>
        <v>1421.0504064844733</v>
      </c>
      <c r="D14" s="82">
        <f t="shared" si="4"/>
        <v>131241.11029087353</v>
      </c>
      <c r="E14">
        <f t="shared" si="0"/>
        <v>69599.962869644136</v>
      </c>
      <c r="F14" s="24">
        <f>+'Adoption Trajectory'!B14</f>
        <v>0.37277291905050985</v>
      </c>
      <c r="G14" s="24">
        <f>+'[1]Adoption trajectory'!C14</f>
        <v>0.54963694086146508</v>
      </c>
      <c r="H14" s="24">
        <f>+'[1]Adoption trajectory'!D14</f>
        <v>0.72508943020981154</v>
      </c>
      <c r="I14" s="82">
        <f t="shared" si="1"/>
        <v>25944.981324724344</v>
      </c>
      <c r="J14" s="82">
        <f t="shared" si="2"/>
        <v>38254.710675742761</v>
      </c>
      <c r="K14" s="82">
        <f t="shared" si="3"/>
        <v>50466.197419774304</v>
      </c>
    </row>
    <row r="15" spans="1:11" x14ac:dyDescent="0.3">
      <c r="A15" s="2">
        <v>2036</v>
      </c>
      <c r="B15" s="82">
        <v>29.545000000000002</v>
      </c>
      <c r="C15" s="83">
        <f>+'Tart Cherry Acres Forecast'!C15</f>
        <v>1406.8399024196285</v>
      </c>
      <c r="D15" s="82">
        <f t="shared" si="4"/>
        <v>41565.084916987929</v>
      </c>
      <c r="E15">
        <f t="shared" si="0"/>
        <v>20993.192355108011</v>
      </c>
      <c r="F15" s="24">
        <f>+'Adoption Trajectory'!B15</f>
        <v>0.38340711320185616</v>
      </c>
      <c r="G15" s="24">
        <f>+'[1]Adoption trajectory'!C15</f>
        <v>0.56780600879569676</v>
      </c>
      <c r="H15" s="24">
        <f>+'[1]Adoption trajectory'!D15</f>
        <v>0.75101906974407373</v>
      </c>
      <c r="I15" s="82">
        <f t="shared" si="1"/>
        <v>8048.9392777632384</v>
      </c>
      <c r="J15" s="82">
        <f t="shared" si="2"/>
        <v>11920.060763034213</v>
      </c>
      <c r="K15" s="82">
        <f t="shared" si="3"/>
        <v>15766.287793491618</v>
      </c>
    </row>
    <row r="16" spans="1:11" x14ac:dyDescent="0.3">
      <c r="A16" s="2">
        <v>2037</v>
      </c>
      <c r="B16" s="82">
        <v>29.545000000000002</v>
      </c>
      <c r="C16" s="83">
        <f>+'Tart Cherry Acres Forecast'!C16</f>
        <v>1392.7715033954323</v>
      </c>
      <c r="D16" s="82">
        <f t="shared" si="4"/>
        <v>41149.434067818052</v>
      </c>
      <c r="E16">
        <f t="shared" si="0"/>
        <v>19793.581363387548</v>
      </c>
      <c r="F16" s="24">
        <f>+'Adoption Trajectory'!B16</f>
        <v>0.4</v>
      </c>
      <c r="G16" s="24">
        <f>+'[1]Adoption trajectory'!C16</f>
        <v>0.6</v>
      </c>
      <c r="H16" s="24">
        <f>+'[1]Adoption trajectory'!D16</f>
        <v>0.8</v>
      </c>
      <c r="I16" s="82">
        <f t="shared" si="1"/>
        <v>7917.4325453550191</v>
      </c>
      <c r="J16" s="82">
        <f t="shared" si="2"/>
        <v>11876.148818032529</v>
      </c>
      <c r="K16" s="82">
        <f t="shared" si="3"/>
        <v>15834.865090710038</v>
      </c>
    </row>
    <row r="17" spans="9:11" x14ac:dyDescent="0.3">
      <c r="I17" s="84">
        <f>SUM(I2:I16)</f>
        <v>153075.81827635106</v>
      </c>
      <c r="J17" s="84">
        <f>SUM(J2:J16)</f>
        <v>231358.46348984595</v>
      </c>
      <c r="K17" s="84">
        <f>SUM(K2:K16)</f>
        <v>308116.43096413859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A1701-95AE-41C0-AC93-5179BD284A03}">
  <dimension ref="A1:K17"/>
  <sheetViews>
    <sheetView topLeftCell="A2" workbookViewId="0">
      <selection activeCell="F2" sqref="F2:F16"/>
    </sheetView>
  </sheetViews>
  <sheetFormatPr defaultRowHeight="14.4" x14ac:dyDescent="0.3"/>
  <cols>
    <col min="4" max="4" width="12.44140625" customWidth="1"/>
    <col min="9" max="9" width="12.5546875" customWidth="1"/>
    <col min="10" max="10" width="12.6640625" customWidth="1"/>
    <col min="11" max="11" width="13.44140625" customWidth="1"/>
  </cols>
  <sheetData>
    <row r="1" spans="1:11" ht="86.4" x14ac:dyDescent="0.3">
      <c r="A1" s="1" t="s">
        <v>0</v>
      </c>
      <c r="B1" s="1" t="s">
        <v>88</v>
      </c>
      <c r="C1" s="1" t="s">
        <v>89</v>
      </c>
      <c r="D1" s="1" t="s">
        <v>90</v>
      </c>
      <c r="E1" s="1" t="s">
        <v>91</v>
      </c>
      <c r="F1" s="1" t="s">
        <v>45</v>
      </c>
      <c r="G1" s="1" t="s">
        <v>48</v>
      </c>
      <c r="H1" s="1" t="s">
        <v>92</v>
      </c>
      <c r="I1" s="1" t="s">
        <v>99</v>
      </c>
      <c r="J1" s="1" t="s">
        <v>100</v>
      </c>
      <c r="K1" s="1" t="s">
        <v>101</v>
      </c>
    </row>
    <row r="2" spans="1:11" x14ac:dyDescent="0.3">
      <c r="A2" s="2">
        <v>2023</v>
      </c>
      <c r="B2" s="82">
        <v>128.595</v>
      </c>
      <c r="C2" s="83">
        <f>+'Tart Cherry Acres Forecast'!D2</f>
        <v>6632.8385645599365</v>
      </c>
      <c r="D2" s="82">
        <f>+B2*C2</f>
        <v>852949.87520958507</v>
      </c>
      <c r="E2">
        <f>+D2/((1+0.05)^(A2-2022))</f>
        <v>812333.2144853191</v>
      </c>
      <c r="F2" s="24">
        <f>+'Adoption Trajectory'!B2</f>
        <v>0.01</v>
      </c>
      <c r="G2" s="24">
        <f>+'[2]Adoption trajectory'!C2</f>
        <v>0.02</v>
      </c>
      <c r="H2" s="24">
        <f>+'[2]Adoption trajectory'!D2</f>
        <v>0.03</v>
      </c>
      <c r="I2" s="82">
        <f>+F2*E2</f>
        <v>8123.3321448531915</v>
      </c>
      <c r="J2" s="82">
        <f>+E2*G2</f>
        <v>16246.664289706383</v>
      </c>
      <c r="K2" s="82">
        <f>+H2*E2</f>
        <v>24369.996434559573</v>
      </c>
    </row>
    <row r="3" spans="1:11" x14ac:dyDescent="0.3">
      <c r="A3" s="2">
        <v>2024</v>
      </c>
      <c r="B3" s="82">
        <v>128.595</v>
      </c>
      <c r="C3" s="83">
        <f>+'Tart Cherry Acres Forecast'!D3</f>
        <v>6566.5101789143373</v>
      </c>
      <c r="D3" s="82">
        <f t="shared" ref="D3:D16" si="0">+B3*C3</f>
        <v>844420.37645748921</v>
      </c>
      <c r="E3">
        <f t="shared" ref="E3:E16" si="1">+D3/((1+0.05)^(A3-2022))</f>
        <v>765914.17365758657</v>
      </c>
      <c r="F3" s="24">
        <f>+'Adoption Trajectory'!B3</f>
        <v>1.659058371384171E-2</v>
      </c>
      <c r="G3" s="24">
        <f>+'[2]Adoption trajectory'!C3</f>
        <v>3.1590071061181738E-2</v>
      </c>
      <c r="H3" s="24">
        <f>+'[2]Adoption trajectory'!D3</f>
        <v>4.6293564221088809E-2</v>
      </c>
      <c r="I3" s="82">
        <f t="shared" ref="I3:I16" si="2">+F3*E3</f>
        <v>12706.963215684087</v>
      </c>
      <c r="J3" s="82">
        <f t="shared" ref="J3:J16" si="3">+E3*G3</f>
        <v>24195.283172609448</v>
      </c>
      <c r="K3" s="82">
        <f t="shared" ref="K3:K16" si="4">+H3*E3</f>
        <v>35456.896986059648</v>
      </c>
    </row>
    <row r="4" spans="1:11" x14ac:dyDescent="0.3">
      <c r="A4" s="2">
        <v>2025</v>
      </c>
      <c r="B4" s="82">
        <v>29.545000000000002</v>
      </c>
      <c r="C4" s="83">
        <f>+'Tart Cherry Acres Forecast'!D4</f>
        <v>6500.8450771251937</v>
      </c>
      <c r="D4" s="82">
        <f t="shared" si="0"/>
        <v>192067.46780366387</v>
      </c>
      <c r="E4">
        <f t="shared" si="1"/>
        <v>165915.10014353858</v>
      </c>
      <c r="F4" s="24">
        <f>+'Adoption Trajectory'!B4</f>
        <v>2.7223406647669757E-2</v>
      </c>
      <c r="G4" s="24">
        <f>+'[2]Adoption trajectory'!C4</f>
        <v>4.9447990876747672E-2</v>
      </c>
      <c r="H4" s="24">
        <f>+'[2]Adoption trajectory'!D4</f>
        <v>7.0934930603786639E-2</v>
      </c>
      <c r="I4" s="82">
        <f t="shared" si="2"/>
        <v>4516.7742401964015</v>
      </c>
      <c r="J4" s="82">
        <f t="shared" si="3"/>
        <v>8204.1683582123715</v>
      </c>
      <c r="K4" s="82">
        <f t="shared" si="4"/>
        <v>11769.17611480222</v>
      </c>
    </row>
    <row r="5" spans="1:11" x14ac:dyDescent="0.3">
      <c r="A5" s="2">
        <v>2026</v>
      </c>
      <c r="B5" s="82">
        <v>92.355000000000004</v>
      </c>
      <c r="C5" s="83">
        <f>+'Tart Cherry Acres Forecast'!D5</f>
        <v>6435.8366263539419</v>
      </c>
      <c r="D5" s="82">
        <f t="shared" si="0"/>
        <v>594381.69162691839</v>
      </c>
      <c r="E5">
        <f t="shared" si="1"/>
        <v>488999.28867245099</v>
      </c>
      <c r="F5" s="24">
        <f>+'Adoption Trajectory'!B5</f>
        <v>4.3890662865978945E-2</v>
      </c>
      <c r="G5" s="24">
        <f>+'[2]Adoption trajectory'!C5</f>
        <v>7.6050348073284466E-2</v>
      </c>
      <c r="H5" s="24">
        <f>+'[2]Adoption trajectory'!D5</f>
        <v>0.10683337802656999</v>
      </c>
      <c r="I5" s="82">
        <f t="shared" si="2"/>
        <v>21462.502920826064</v>
      </c>
      <c r="J5" s="82">
        <f t="shared" si="3"/>
        <v>37188.566111128406</v>
      </c>
      <c r="K5" s="82">
        <f t="shared" si="4"/>
        <v>52241.445861467779</v>
      </c>
    </row>
    <row r="6" spans="1:11" x14ac:dyDescent="0.3">
      <c r="A6" s="2">
        <v>2027</v>
      </c>
      <c r="B6" s="82">
        <v>29.545000000000002</v>
      </c>
      <c r="C6" s="83">
        <f>+'Tart Cherry Acres Forecast'!D6</f>
        <v>6371.4782600904027</v>
      </c>
      <c r="D6" s="82">
        <f t="shared" si="0"/>
        <v>188245.32519437096</v>
      </c>
      <c r="E6">
        <f t="shared" si="1"/>
        <v>147495.13800515389</v>
      </c>
      <c r="F6" s="24">
        <f>+'Adoption Trajectory'!B6</f>
        <v>6.8876848756818654E-2</v>
      </c>
      <c r="G6" s="24">
        <f>+'[2]Adoption trajectory'!C6</f>
        <v>0.11400093960918775</v>
      </c>
      <c r="H6" s="24">
        <f>+'[2]Adoption trajectory'!D6</f>
        <v>0.15698724509262335</v>
      </c>
      <c r="I6" s="82">
        <f t="shared" si="2"/>
        <v>10159.000312747079</v>
      </c>
      <c r="J6" s="82">
        <f t="shared" si="3"/>
        <v>16814.584320374361</v>
      </c>
      <c r="K6" s="82">
        <f t="shared" si="4"/>
        <v>23154.855379985398</v>
      </c>
    </row>
    <row r="7" spans="1:11" x14ac:dyDescent="0.3">
      <c r="A7" s="2">
        <v>2028</v>
      </c>
      <c r="B7" s="82">
        <v>92.355000000000004</v>
      </c>
      <c r="C7" s="83">
        <f>+'Tart Cherry Acres Forecast'!D7</f>
        <v>6307.7634774894987</v>
      </c>
      <c r="D7" s="82">
        <f t="shared" si="0"/>
        <v>582553.49596354272</v>
      </c>
      <c r="E7">
        <f t="shared" si="1"/>
        <v>434710.38805248908</v>
      </c>
      <c r="F7" s="24">
        <f>+'Adoption Trajectory'!B7</f>
        <v>0.10393569351944917</v>
      </c>
      <c r="G7" s="24">
        <f>+'[2]Adoption trajectory'!C7</f>
        <v>0.16492830132610611</v>
      </c>
      <c r="H7" s="24">
        <f>+'[2]Adoption trajectory'!D7</f>
        <v>0.22310785758170959</v>
      </c>
      <c r="I7" s="82">
        <f t="shared" si="2"/>
        <v>45181.925662344329</v>
      </c>
      <c r="J7" s="82">
        <f t="shared" si="3"/>
        <v>71696.045870309434</v>
      </c>
      <c r="K7" s="82">
        <f t="shared" si="4"/>
        <v>96987.303346904446</v>
      </c>
    </row>
    <row r="8" spans="1:11" x14ac:dyDescent="0.3">
      <c r="A8" s="2">
        <v>2029</v>
      </c>
      <c r="B8" s="82">
        <v>92.355000000000004</v>
      </c>
      <c r="C8" s="83">
        <f>+'Tart Cherry Acres Forecast'!D8</f>
        <v>6244.6858427146035</v>
      </c>
      <c r="D8" s="82">
        <f t="shared" si="0"/>
        <v>576727.96100390726</v>
      </c>
      <c r="E8">
        <f t="shared" si="1"/>
        <v>409869.79444948962</v>
      </c>
      <c r="F8" s="24">
        <f>+'Adoption Trajectory'!B8</f>
        <v>0.14881943318154645</v>
      </c>
      <c r="G8" s="24">
        <f>+'[2]Adoption trajectory'!C8</f>
        <v>0.22793614059414585</v>
      </c>
      <c r="H8" s="24">
        <f>+'[2]Adoption trajectory'!D8</f>
        <v>0.30391485412552793</v>
      </c>
      <c r="I8" s="82">
        <f t="shared" si="2"/>
        <v>60996.59048821</v>
      </c>
      <c r="J8" s="82">
        <f t="shared" si="3"/>
        <v>93424.139092932528</v>
      </c>
      <c r="K8" s="82">
        <f t="shared" si="4"/>
        <v>124565.51879057675</v>
      </c>
    </row>
    <row r="9" spans="1:11" x14ac:dyDescent="0.3">
      <c r="A9" s="2">
        <v>2030</v>
      </c>
      <c r="B9" s="82">
        <v>92.355000000000004</v>
      </c>
      <c r="C9" s="83">
        <f>+'Tart Cherry Acres Forecast'!D9</f>
        <v>6182.2389842874572</v>
      </c>
      <c r="D9" s="82">
        <f t="shared" si="0"/>
        <v>570960.68139386817</v>
      </c>
      <c r="E9">
        <f t="shared" si="1"/>
        <v>386448.66333809023</v>
      </c>
      <c r="F9" s="24">
        <f>+'Adoption Trajectory'!B9</f>
        <v>0.19999275920000315</v>
      </c>
      <c r="G9" s="24">
        <f>+'[2]Adoption trajectory'!C9</f>
        <v>0.29850001249987496</v>
      </c>
      <c r="H9" s="24">
        <f>+'[2]Adoption trajectory'!D9</f>
        <v>0.39400044995950373</v>
      </c>
      <c r="I9" s="82">
        <f t="shared" si="2"/>
        <v>77286.93447013777</v>
      </c>
      <c r="J9" s="82">
        <f t="shared" si="3"/>
        <v>115354.93083697991</v>
      </c>
      <c r="K9" s="82">
        <f t="shared" si="4"/>
        <v>152260.94724145634</v>
      </c>
    </row>
    <row r="10" spans="1:11" x14ac:dyDescent="0.3">
      <c r="A10" s="2">
        <v>2031</v>
      </c>
      <c r="B10" s="82">
        <v>92.355000000000004</v>
      </c>
      <c r="C10" s="83">
        <f>+'Tart Cherry Acres Forecast'!D10</f>
        <v>6120.4165944445822</v>
      </c>
      <c r="D10" s="82">
        <f t="shared" si="0"/>
        <v>565251.07457992947</v>
      </c>
      <c r="E10">
        <f t="shared" si="1"/>
        <v>364365.88257591362</v>
      </c>
      <c r="F10" s="24">
        <f>+'Adoption Trajectory'!B10</f>
        <v>0.25116703331353935</v>
      </c>
      <c r="G10" s="24">
        <f>+'[2]Adoption trajectory'!C10</f>
        <v>0.36923025383470931</v>
      </c>
      <c r="H10" s="24">
        <f>+'[2]Adoption trajectory'!D10</f>
        <v>0.48469893474540854</v>
      </c>
      <c r="I10" s="82">
        <f t="shared" si="2"/>
        <v>91516.697767261663</v>
      </c>
      <c r="J10" s="82">
        <f t="shared" si="3"/>
        <v>134534.90731221248</v>
      </c>
      <c r="K10" s="82">
        <f t="shared" si="4"/>
        <v>176607.75514211596</v>
      </c>
    </row>
    <row r="11" spans="1:11" x14ac:dyDescent="0.3">
      <c r="A11" s="2">
        <v>2032</v>
      </c>
      <c r="B11" s="82">
        <v>92.355000000000004</v>
      </c>
      <c r="C11" s="83">
        <f>+'Tart Cherry Acres Forecast'!D11</f>
        <v>6059.2124285001364</v>
      </c>
      <c r="D11" s="82">
        <f t="shared" si="0"/>
        <v>559598.56383413007</v>
      </c>
      <c r="E11">
        <f t="shared" si="1"/>
        <v>343544.97500014707</v>
      </c>
      <c r="F11" s="24">
        <f>+'Adoption Trajectory'!B11</f>
        <v>0.29605316552528627</v>
      </c>
      <c r="G11" s="24">
        <f>+'[2]Adoption trajectory'!C11</f>
        <v>0.43266910681371784</v>
      </c>
      <c r="H11" s="24">
        <f>+'[2]Adoption trajectory'!D11</f>
        <v>0.56711213805289606</v>
      </c>
      <c r="I11" s="82">
        <f t="shared" si="2"/>
        <v>101707.57734909886</v>
      </c>
      <c r="J11" s="82">
        <f t="shared" si="3"/>
        <v>148641.29748365466</v>
      </c>
      <c r="K11" s="82">
        <f t="shared" si="4"/>
        <v>194828.52528966212</v>
      </c>
    </row>
    <row r="12" spans="1:11" x14ac:dyDescent="0.3">
      <c r="A12" s="2">
        <v>2033</v>
      </c>
      <c r="B12" s="82">
        <v>92.355000000000004</v>
      </c>
      <c r="C12" s="83">
        <f>+'Tart Cherry Acres Forecast'!D12</f>
        <v>5998.6203042151346</v>
      </c>
      <c r="D12" s="82">
        <f t="shared" si="0"/>
        <v>554002.57819578878</v>
      </c>
      <c r="E12">
        <f t="shared" si="1"/>
        <v>323913.83357156726</v>
      </c>
      <c r="F12" s="24">
        <f>+'Adoption Trajectory'!B12</f>
        <v>0.33111489390658277</v>
      </c>
      <c r="G12" s="24">
        <f>+'[2]Adoption trajectory'!C12</f>
        <v>0.48414078946007005</v>
      </c>
      <c r="H12" s="24">
        <f>+'[2]Adoption trajectory'!D12</f>
        <v>0.63530370255924218</v>
      </c>
      <c r="I12" s="82">
        <f t="shared" si="2"/>
        <v>107252.694637924</v>
      </c>
      <c r="J12" s="82">
        <f t="shared" si="3"/>
        <v>156819.89910237631</v>
      </c>
      <c r="K12" s="82">
        <f t="shared" si="4"/>
        <v>205783.65777817485</v>
      </c>
    </row>
    <row r="13" spans="1:11" x14ac:dyDescent="0.3">
      <c r="A13" s="2">
        <v>2034</v>
      </c>
      <c r="B13" s="82">
        <v>92.355000000000004</v>
      </c>
      <c r="C13" s="83">
        <f>+'Tart Cherry Acres Forecast'!D13</f>
        <v>5938.6341011729828</v>
      </c>
      <c r="D13" s="82">
        <f t="shared" si="0"/>
        <v>548462.55241383088</v>
      </c>
      <c r="E13">
        <f t="shared" si="1"/>
        <v>305404.47165319201</v>
      </c>
      <c r="F13" s="24">
        <f>+'Adoption Trajectory'!B13</f>
        <v>0.35610367817430466</v>
      </c>
      <c r="G13" s="24">
        <f>+'[2]Adoption trajectory'!C13</f>
        <v>0.52261148871225849</v>
      </c>
      <c r="H13" s="24">
        <f>+'[2]Adoption trajectory'!D13</f>
        <v>0.68748949941269277</v>
      </c>
      <c r="I13" s="82">
        <f t="shared" si="2"/>
        <v>108755.65568658184</v>
      </c>
      <c r="J13" s="82">
        <f t="shared" si="3"/>
        <v>159607.88559005543</v>
      </c>
      <c r="K13" s="82">
        <f t="shared" si="4"/>
        <v>209962.36733525089</v>
      </c>
    </row>
    <row r="14" spans="1:11" x14ac:dyDescent="0.3">
      <c r="A14" s="2">
        <v>2035</v>
      </c>
      <c r="B14" s="82">
        <v>92.355000000000004</v>
      </c>
      <c r="C14" s="83">
        <f>+'Tart Cherry Acres Forecast'!D14</f>
        <v>5879.2477601612527</v>
      </c>
      <c r="D14" s="82">
        <f t="shared" si="0"/>
        <v>542977.92688969255</v>
      </c>
      <c r="E14">
        <f t="shared" si="1"/>
        <v>287952.78755872382</v>
      </c>
      <c r="F14" s="24">
        <f>+'Adoption Trajectory'!B14</f>
        <v>0.37277291905050985</v>
      </c>
      <c r="G14" s="24">
        <f>+'[2]Adoption trajectory'!C14</f>
        <v>0.54963694086146508</v>
      </c>
      <c r="H14" s="24">
        <f>+'[2]Adoption trajectory'!D14</f>
        <v>0.72508943020981154</v>
      </c>
      <c r="I14" s="82">
        <f t="shared" si="2"/>
        <v>107341.00116699682</v>
      </c>
      <c r="J14" s="82">
        <f t="shared" si="3"/>
        <v>158269.48926630832</v>
      </c>
      <c r="K14" s="82">
        <f t="shared" si="4"/>
        <v>208791.52265828196</v>
      </c>
    </row>
    <row r="15" spans="1:11" x14ac:dyDescent="0.3">
      <c r="A15" s="2">
        <v>2036</v>
      </c>
      <c r="B15" s="82">
        <v>92.355000000000004</v>
      </c>
      <c r="C15" s="83">
        <f>+'Tart Cherry Acres Forecast'!D15</f>
        <v>5820.4552825596402</v>
      </c>
      <c r="D15" s="82">
        <f t="shared" si="0"/>
        <v>537548.14762079564</v>
      </c>
      <c r="E15">
        <f t="shared" si="1"/>
        <v>271498.34255536826</v>
      </c>
      <c r="F15" s="24">
        <f>+'Adoption Trajectory'!B15</f>
        <v>0.38340711320185616</v>
      </c>
      <c r="G15" s="24">
        <f>+'[2]Adoption trajectory'!C15</f>
        <v>0.56780600879569676</v>
      </c>
      <c r="H15" s="24">
        <f>+'[2]Adoption trajectory'!D15</f>
        <v>0.75101906974407373</v>
      </c>
      <c r="I15" s="82">
        <f t="shared" si="2"/>
        <v>104094.3957582424</v>
      </c>
      <c r="J15" s="82">
        <f t="shared" si="3"/>
        <v>154158.39028101054</v>
      </c>
      <c r="K15" s="82">
        <f t="shared" si="4"/>
        <v>203900.43266299053</v>
      </c>
    </row>
    <row r="16" spans="1:11" x14ac:dyDescent="0.3">
      <c r="A16" s="2">
        <v>2037</v>
      </c>
      <c r="B16" s="82">
        <v>92.355000000000004</v>
      </c>
      <c r="C16" s="83">
        <f>+'Tart Cherry Acres Forecast'!D16</f>
        <v>5762.2507297340435</v>
      </c>
      <c r="D16" s="82">
        <f t="shared" si="0"/>
        <v>532172.66614458757</v>
      </c>
      <c r="E16">
        <f t="shared" si="1"/>
        <v>255984.15155220422</v>
      </c>
      <c r="F16" s="24">
        <f>+'Adoption Trajectory'!B16</f>
        <v>0.4</v>
      </c>
      <c r="G16" s="24">
        <f>+'[2]Adoption trajectory'!C16</f>
        <v>0.6</v>
      </c>
      <c r="H16" s="24">
        <f>+'[2]Adoption trajectory'!D16</f>
        <v>0.8</v>
      </c>
      <c r="I16" s="82">
        <f t="shared" si="2"/>
        <v>102393.6606208817</v>
      </c>
      <c r="J16" s="82">
        <f t="shared" si="3"/>
        <v>153590.49093132254</v>
      </c>
      <c r="K16" s="82">
        <f t="shared" si="4"/>
        <v>204787.32124176339</v>
      </c>
    </row>
    <row r="17" spans="9:11" x14ac:dyDescent="0.3">
      <c r="I17" s="84">
        <f>SUM(I2:I16)</f>
        <v>963495.70644198614</v>
      </c>
      <c r="J17" s="84">
        <f>SUM(J2:J16)</f>
        <v>1448746.742019193</v>
      </c>
      <c r="K17" s="84">
        <f>SUM(K2:K16)</f>
        <v>1925467.7222640519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7B0F4-29D1-4A41-BE3A-D9AC90054C98}">
  <dimension ref="A1:Q39"/>
  <sheetViews>
    <sheetView topLeftCell="A5" zoomScale="85" zoomScaleNormal="85" workbookViewId="0">
      <selection activeCell="Q12" sqref="Q12:Q14"/>
    </sheetView>
  </sheetViews>
  <sheetFormatPr defaultRowHeight="15.6" x14ac:dyDescent="0.3"/>
  <cols>
    <col min="1" max="1" width="8.88671875" style="42"/>
    <col min="2" max="2" width="12.77734375" style="42" customWidth="1"/>
    <col min="3" max="3" width="12.44140625" style="42" customWidth="1"/>
    <col min="4" max="4" width="12.33203125" style="42" customWidth="1"/>
    <col min="5" max="5" width="9.88671875" style="42" customWidth="1"/>
    <col min="6" max="7" width="10.21875" style="42" customWidth="1"/>
    <col min="8" max="8" width="11.44140625" style="42" customWidth="1"/>
    <col min="9" max="9" width="12.44140625" style="42" customWidth="1"/>
    <col min="10" max="10" width="12" style="42" customWidth="1"/>
    <col min="11" max="11" width="12.44140625" style="42" customWidth="1"/>
    <col min="12" max="12" width="11.6640625" style="42" customWidth="1"/>
    <col min="13" max="13" width="12.33203125" style="42" customWidth="1"/>
    <col min="14" max="16" width="8.88671875" style="42"/>
    <col min="17" max="17" width="16.21875" style="42" bestFit="1" customWidth="1"/>
    <col min="18" max="16384" width="8.88671875" style="42"/>
  </cols>
  <sheetData>
    <row r="1" spans="1:17" ht="16.2" thickBot="1" x14ac:dyDescent="0.35">
      <c r="B1" s="90" t="s">
        <v>57</v>
      </c>
      <c r="C1" s="91"/>
      <c r="D1" s="92"/>
      <c r="E1" s="90" t="s">
        <v>81</v>
      </c>
      <c r="F1" s="91"/>
      <c r="G1" s="92"/>
      <c r="H1" s="93" t="s">
        <v>59</v>
      </c>
      <c r="I1" s="94"/>
      <c r="J1" s="95"/>
      <c r="K1" s="90" t="s">
        <v>82</v>
      </c>
      <c r="L1" s="91"/>
      <c r="M1" s="92"/>
    </row>
    <row r="2" spans="1:17" s="41" customFormat="1" ht="31.8" thickBot="1" x14ac:dyDescent="0.35">
      <c r="A2" s="77" t="s">
        <v>0</v>
      </c>
      <c r="B2" s="63" t="s">
        <v>80</v>
      </c>
      <c r="C2" s="63" t="s">
        <v>83</v>
      </c>
      <c r="D2" s="63" t="s">
        <v>47</v>
      </c>
      <c r="E2" s="63" t="s">
        <v>84</v>
      </c>
      <c r="F2" s="63" t="s">
        <v>46</v>
      </c>
      <c r="G2" s="63" t="s">
        <v>47</v>
      </c>
      <c r="H2" s="63" t="s">
        <v>84</v>
      </c>
      <c r="I2" s="63" t="s">
        <v>46</v>
      </c>
      <c r="J2" s="63" t="s">
        <v>47</v>
      </c>
      <c r="K2" s="63" t="s">
        <v>84</v>
      </c>
      <c r="L2" s="63" t="s">
        <v>46</v>
      </c>
      <c r="M2" s="63" t="s">
        <v>47</v>
      </c>
    </row>
    <row r="3" spans="1:17" x14ac:dyDescent="0.3">
      <c r="A3" s="78">
        <v>2023</v>
      </c>
      <c r="B3" s="43">
        <f>+'Northwest Cost Calculation'!I2</f>
        <v>16505.753530652772</v>
      </c>
      <c r="C3" s="43">
        <f>+'Northwest Cost Calculation'!J2</f>
        <v>33011.507061305543</v>
      </c>
      <c r="D3" s="43">
        <f>+'Northwest Cost Calculation'!K2</f>
        <v>49517.260591958307</v>
      </c>
      <c r="E3" s="43">
        <f>+'Southwest Cost Calculation'!I2</f>
        <v>1410.1271084236776</v>
      </c>
      <c r="F3" s="43">
        <f>+'Southwest Cost Calculation'!J2</f>
        <v>2820.2542168473551</v>
      </c>
      <c r="G3" s="43">
        <f>+'Southwest Cost Calculation'!K2</f>
        <v>4230.3813252710324</v>
      </c>
      <c r="H3" s="43">
        <f>+'West Central'!I2</f>
        <v>8123.3321448531915</v>
      </c>
      <c r="I3" s="43">
        <f>+'West Central'!J2</f>
        <v>16246.664289706383</v>
      </c>
      <c r="J3" s="43">
        <f>+'West Central'!K2</f>
        <v>24369.996434559573</v>
      </c>
      <c r="K3" s="43">
        <f>+B3+E3+H3</f>
        <v>26039.212783929637</v>
      </c>
      <c r="L3" s="44">
        <f>+C3+F3+I3</f>
        <v>52078.425567859274</v>
      </c>
      <c r="M3" s="45">
        <f>+D3+G3+J3</f>
        <v>78117.638351788919</v>
      </c>
    </row>
    <row r="4" spans="1:17" x14ac:dyDescent="0.3">
      <c r="A4" s="78">
        <v>2024</v>
      </c>
      <c r="B4" s="43">
        <f>+'Northwest Cost Calculation'!I3</f>
        <v>25819.208081259982</v>
      </c>
      <c r="C4" s="43">
        <f>+'Northwest Cost Calculation'!J3</f>
        <v>49162.261684014826</v>
      </c>
      <c r="D4" s="43">
        <f>+'Northwest Cost Calculation'!K3</f>
        <v>72044.672331223803</v>
      </c>
      <c r="E4" s="43">
        <f>+'Southwest Cost Calculation'!I3</f>
        <v>2228.0792228057685</v>
      </c>
      <c r="F4" s="43">
        <f>+'Southwest Cost Calculation'!J3</f>
        <v>4242.4776724193052</v>
      </c>
      <c r="G4" s="43">
        <f>+'Southwest Cost Calculation'!K3</f>
        <v>6217.1247479723606</v>
      </c>
      <c r="H4" s="43">
        <f>+'West Central'!I3</f>
        <v>12706.963215684087</v>
      </c>
      <c r="I4" s="43">
        <f>+'West Central'!J3</f>
        <v>24195.283172609448</v>
      </c>
      <c r="J4" s="43">
        <f>+'West Central'!K3</f>
        <v>35456.896986059648</v>
      </c>
      <c r="K4" s="43">
        <f t="shared" ref="K4:K17" si="0">+B4+E4+H4</f>
        <v>40754.250519749839</v>
      </c>
      <c r="L4" s="44">
        <f t="shared" ref="L4:L17" si="1">+C4+F4+I4</f>
        <v>77600.022529043577</v>
      </c>
      <c r="M4" s="45">
        <f t="shared" ref="M4:M17" si="2">+D4+G4+J4</f>
        <v>113718.69406525581</v>
      </c>
    </row>
    <row r="5" spans="1:17" x14ac:dyDescent="0.3">
      <c r="A5" s="78">
        <v>2025</v>
      </c>
      <c r="B5" s="43">
        <f>+'Northwest Cost Calculation'!I4</f>
        <v>28688.374869998708</v>
      </c>
      <c r="C5" s="43">
        <f>+'Northwest Cost Calculation'!J4</f>
        <v>52108.92660128705</v>
      </c>
      <c r="D5" s="43">
        <f>+'Northwest Cost Calculation'!K4</f>
        <v>74752.139101333436</v>
      </c>
      <c r="E5" s="43">
        <f>+'Southwest Cost Calculation'!I4</f>
        <v>1091.7321623223529</v>
      </c>
      <c r="F5" s="43">
        <f>+'Southwest Cost Calculation'!J4</f>
        <v>1982.9980391887723</v>
      </c>
      <c r="G5" s="43">
        <f>+'Southwest Cost Calculation'!K4</f>
        <v>2844.6823784593039</v>
      </c>
      <c r="H5" s="43">
        <f>+'West Central'!I4</f>
        <v>4516.7742401964015</v>
      </c>
      <c r="I5" s="43">
        <f>+'West Central'!J4</f>
        <v>8204.1683582123715</v>
      </c>
      <c r="J5" s="43">
        <f>+'West Central'!K4</f>
        <v>11769.17611480222</v>
      </c>
      <c r="K5" s="43">
        <f t="shared" si="0"/>
        <v>34296.881272517465</v>
      </c>
      <c r="L5" s="44">
        <f t="shared" si="1"/>
        <v>62296.092998688197</v>
      </c>
      <c r="M5" s="45">
        <f t="shared" si="2"/>
        <v>89365.997594594955</v>
      </c>
    </row>
    <row r="6" spans="1:17" x14ac:dyDescent="0.3">
      <c r="A6" s="78">
        <v>2026</v>
      </c>
      <c r="B6" s="43">
        <f>+'Northwest Cost Calculation'!I5</f>
        <v>60721.876233369425</v>
      </c>
      <c r="C6" s="43">
        <f>+'Northwest Cost Calculation'!J5</f>
        <v>105214.17362302226</v>
      </c>
      <c r="D6" s="43">
        <f>+'Northwest Cost Calculation'!K5</f>
        <v>147801.89531269367</v>
      </c>
      <c r="E6" s="43">
        <f>+'Southwest Cost Calculation'!I5</f>
        <v>5187.6191893939767</v>
      </c>
      <c r="F6" s="43">
        <f>+'Southwest Cost Calculation'!J5</f>
        <v>8988.7055529267709</v>
      </c>
      <c r="G6" s="43">
        <f>+'Southwest Cost Calculation'!K5</f>
        <v>12627.079331444818</v>
      </c>
      <c r="H6" s="43">
        <f>+'West Central'!I5</f>
        <v>21462.502920826064</v>
      </c>
      <c r="I6" s="43">
        <f>+'West Central'!J5</f>
        <v>37188.566111128406</v>
      </c>
      <c r="J6" s="43">
        <f>+'West Central'!K5</f>
        <v>52241.445861467779</v>
      </c>
      <c r="K6" s="43">
        <f t="shared" si="0"/>
        <v>87371.998343589468</v>
      </c>
      <c r="L6" s="44">
        <f t="shared" si="1"/>
        <v>151391.44528707743</v>
      </c>
      <c r="M6" s="45">
        <f t="shared" si="2"/>
        <v>212670.42050560625</v>
      </c>
    </row>
    <row r="7" spans="1:17" x14ac:dyDescent="0.3">
      <c r="A7" s="78">
        <v>2027</v>
      </c>
      <c r="B7" s="43">
        <f>+'Northwest Cost Calculation'!I6</f>
        <v>20642.016390560639</v>
      </c>
      <c r="C7" s="43">
        <f>+'Northwest Cost Calculation'!J6</f>
        <v>34165.46062176233</v>
      </c>
      <c r="D7" s="43">
        <f>+'Northwest Cost Calculation'!K6</f>
        <v>47048.222222711462</v>
      </c>
      <c r="E7" s="43">
        <f>+'Southwest Cost Calculation'!I6</f>
        <v>2455.4929665881564</v>
      </c>
      <c r="F7" s="43">
        <f>+'Southwest Cost Calculation'!J6</f>
        <v>4064.1886271994899</v>
      </c>
      <c r="G7" s="43">
        <f>+'Southwest Cost Calculation'!K6</f>
        <v>5596.6712055888875</v>
      </c>
      <c r="H7" s="43">
        <f>+'West Central'!I6</f>
        <v>10159.000312747079</v>
      </c>
      <c r="I7" s="43">
        <f>+'West Central'!J6</f>
        <v>16814.584320374361</v>
      </c>
      <c r="J7" s="43">
        <f>+'West Central'!K6</f>
        <v>23154.855379985398</v>
      </c>
      <c r="K7" s="43">
        <f t="shared" si="0"/>
        <v>33256.509669895873</v>
      </c>
      <c r="L7" s="44">
        <f t="shared" si="1"/>
        <v>55044.233569336182</v>
      </c>
      <c r="M7" s="45">
        <f t="shared" si="2"/>
        <v>75799.748808285745</v>
      </c>
    </row>
    <row r="8" spans="1:17" x14ac:dyDescent="0.3">
      <c r="A8" s="78">
        <v>2028</v>
      </c>
      <c r="B8" s="43">
        <f>+'Northwest Cost Calculation'!I7</f>
        <v>127829.04716075749</v>
      </c>
      <c r="C8" s="43">
        <f>+'Northwest Cost Calculation'!J7</f>
        <v>202842.99738100378</v>
      </c>
      <c r="D8" s="43">
        <f>+'Northwest Cost Calculation'!K7</f>
        <v>274397.21507617709</v>
      </c>
      <c r="E8" s="43">
        <f>+'Southwest Cost Calculation'!I7</f>
        <v>10920.749804642466</v>
      </c>
      <c r="F8" s="43">
        <f>+'Southwest Cost Calculation'!J7</f>
        <v>17329.376016046353</v>
      </c>
      <c r="G8" s="43">
        <f>+'Southwest Cost Calculation'!K7</f>
        <v>23442.428771052731</v>
      </c>
      <c r="H8" s="43">
        <f>+'West Central'!I7</f>
        <v>45181.925662344329</v>
      </c>
      <c r="I8" s="43">
        <f>+'West Central'!J7</f>
        <v>71696.045870309434</v>
      </c>
      <c r="J8" s="43">
        <f>+'West Central'!K7</f>
        <v>96987.303346904446</v>
      </c>
      <c r="K8" s="43">
        <f t="shared" si="0"/>
        <v>183931.72262774428</v>
      </c>
      <c r="L8" s="44">
        <f t="shared" si="1"/>
        <v>291868.41926735954</v>
      </c>
      <c r="M8" s="45">
        <f t="shared" si="2"/>
        <v>394826.94719413429</v>
      </c>
    </row>
    <row r="9" spans="1:17" x14ac:dyDescent="0.3">
      <c r="A9" s="78">
        <v>2029</v>
      </c>
      <c r="B9" s="43">
        <f>+'Northwest Cost Calculation'!I8</f>
        <v>172572.01697051889</v>
      </c>
      <c r="C9" s="43">
        <f>+'Northwest Cost Calculation'!J8</f>
        <v>264316.28371290618</v>
      </c>
      <c r="D9" s="43">
        <f>+'Northwest Cost Calculation'!K8</f>
        <v>352421.71161720844</v>
      </c>
      <c r="E9" s="43">
        <f>+'Southwest Cost Calculation'!I8</f>
        <v>14743.251729377769</v>
      </c>
      <c r="F9" s="43">
        <f>+'Southwest Cost Calculation'!J8</f>
        <v>22581.190017723024</v>
      </c>
      <c r="G9" s="43">
        <f>+'Southwest Cost Calculation'!K8</f>
        <v>30108.253356964044</v>
      </c>
      <c r="H9" s="43">
        <f>+'West Central'!I8</f>
        <v>60996.59048821</v>
      </c>
      <c r="I9" s="43">
        <f>+'West Central'!J8</f>
        <v>93424.139092932528</v>
      </c>
      <c r="J9" s="43">
        <f>+'West Central'!K8</f>
        <v>124565.51879057675</v>
      </c>
      <c r="K9" s="43">
        <f t="shared" si="0"/>
        <v>248311.85918810667</v>
      </c>
      <c r="L9" s="44">
        <f t="shared" si="1"/>
        <v>380321.61282356171</v>
      </c>
      <c r="M9" s="45">
        <f t="shared" si="2"/>
        <v>507095.48376474925</v>
      </c>
    </row>
    <row r="10" spans="1:17" x14ac:dyDescent="0.3">
      <c r="A10" s="78">
        <v>2030</v>
      </c>
      <c r="B10" s="43">
        <f>+'Northwest Cost Calculation'!I9</f>
        <v>218660.78186055348</v>
      </c>
      <c r="C10" s="43">
        <f>+'Northwest Cost Calculation'!J9</f>
        <v>326363.0462407592</v>
      </c>
      <c r="D10" s="43">
        <f>+'Northwest Cost Calculation'!K9</f>
        <v>430777.82808825618</v>
      </c>
      <c r="E10" s="43">
        <f>+'Southwest Cost Calculation'!I9</f>
        <v>5976.0935061227647</v>
      </c>
      <c r="F10" s="43">
        <f>+'Southwest Cost Calculation'!J9</f>
        <v>8919.6428581402288</v>
      </c>
      <c r="G10" s="43">
        <f>+'Southwest Cost Calculation'!K9</f>
        <v>11773.343894204349</v>
      </c>
      <c r="H10" s="43">
        <f>+'West Central'!I9</f>
        <v>77286.93447013777</v>
      </c>
      <c r="I10" s="43">
        <f>+'West Central'!J9</f>
        <v>115354.93083697991</v>
      </c>
      <c r="J10" s="43">
        <f>+'West Central'!K9</f>
        <v>152260.94724145634</v>
      </c>
      <c r="K10" s="43">
        <f t="shared" si="0"/>
        <v>301923.80983681401</v>
      </c>
      <c r="L10" s="44">
        <f t="shared" si="1"/>
        <v>450637.61993587937</v>
      </c>
      <c r="M10" s="45">
        <f t="shared" si="2"/>
        <v>594812.1192239169</v>
      </c>
    </row>
    <row r="11" spans="1:17" x14ac:dyDescent="0.3">
      <c r="A11" s="78">
        <v>2031</v>
      </c>
      <c r="B11" s="43">
        <f>+'Northwest Cost Calculation'!I10</f>
        <v>185952.27061381729</v>
      </c>
      <c r="C11" s="43">
        <f>+'Northwest Cost Calculation'!J10</f>
        <v>273360.73199610942</v>
      </c>
      <c r="D11" s="43">
        <f>+'Northwest Cost Calculation'!K10</f>
        <v>358848.31815286091</v>
      </c>
      <c r="E11" s="43">
        <f>+'Southwest Cost Calculation'!I10</f>
        <v>7076.3880981726452</v>
      </c>
      <c r="F11" s="43">
        <f>+'Southwest Cost Calculation'!J10</f>
        <v>10402.705081361311</v>
      </c>
      <c r="G11" s="43">
        <f>+'Southwest Cost Calculation'!K10</f>
        <v>13655.92342187559</v>
      </c>
      <c r="H11" s="43">
        <f>+'West Central'!I10</f>
        <v>91516.697767261663</v>
      </c>
      <c r="I11" s="43">
        <f>+'West Central'!J10</f>
        <v>134534.90731221248</v>
      </c>
      <c r="J11" s="43">
        <f>+'West Central'!K10</f>
        <v>176607.75514211596</v>
      </c>
      <c r="K11" s="43">
        <f t="shared" si="0"/>
        <v>284545.35647925158</v>
      </c>
      <c r="L11" s="44">
        <f t="shared" si="1"/>
        <v>418298.34438968322</v>
      </c>
      <c r="M11" s="45">
        <f t="shared" si="2"/>
        <v>549111.99671685242</v>
      </c>
    </row>
    <row r="12" spans="1:17" x14ac:dyDescent="0.3">
      <c r="A12" s="78">
        <v>2032</v>
      </c>
      <c r="B12" s="43">
        <f>+'Northwest Cost Calculation'!I11</f>
        <v>206659.06231443008</v>
      </c>
      <c r="C12" s="43">
        <f>+'Northwest Cost Calculation'!J11</f>
        <v>302023.42794712621</v>
      </c>
      <c r="D12" s="43">
        <f>+'Northwest Cost Calculation'!K11</f>
        <v>395870.99995771883</v>
      </c>
      <c r="E12" s="43">
        <f>+'Southwest Cost Calculation'!I11</f>
        <v>7864.3822100911075</v>
      </c>
      <c r="F12" s="43">
        <f>+'Southwest Cost Calculation'!J11</f>
        <v>11493.460035951499</v>
      </c>
      <c r="G12" s="43">
        <f>+'Southwest Cost Calculation'!K11</f>
        <v>15064.816489013339</v>
      </c>
      <c r="H12" s="43">
        <f>+'West Central'!I11</f>
        <v>101707.57734909886</v>
      </c>
      <c r="I12" s="43">
        <f>+'West Central'!J11</f>
        <v>148641.29748365466</v>
      </c>
      <c r="J12" s="43">
        <f>+'West Central'!K11</f>
        <v>194828.52528966212</v>
      </c>
      <c r="K12" s="43">
        <f t="shared" si="0"/>
        <v>316231.02187362005</v>
      </c>
      <c r="L12" s="44">
        <f t="shared" si="1"/>
        <v>462158.18546673236</v>
      </c>
      <c r="M12" s="45">
        <f t="shared" si="2"/>
        <v>605764.34173639421</v>
      </c>
      <c r="Q12" s="86">
        <v>153075.81827635106</v>
      </c>
    </row>
    <row r="13" spans="1:17" x14ac:dyDescent="0.3">
      <c r="A13" s="78">
        <v>2033</v>
      </c>
      <c r="B13" s="43">
        <f>+'Northwest Cost Calculation'!I12</f>
        <v>217926.15537868431</v>
      </c>
      <c r="C13" s="43">
        <f>+'Northwest Cost Calculation'!J12</f>
        <v>318641.48321519088</v>
      </c>
      <c r="D13" s="43">
        <f>+'Northwest Cost Calculation'!K12</f>
        <v>418130.67290062603</v>
      </c>
      <c r="E13" s="43">
        <f>+'Southwest Cost Calculation'!I12</f>
        <v>25923.637092578785</v>
      </c>
      <c r="F13" s="43">
        <f>+'Southwest Cost Calculation'!J12</f>
        <v>37904.335801996167</v>
      </c>
      <c r="G13" s="43">
        <f>+'Southwest Cost Calculation'!K12</f>
        <v>49739.17794638349</v>
      </c>
      <c r="H13" s="43">
        <f>+'West Central'!I12</f>
        <v>107252.694637924</v>
      </c>
      <c r="I13" s="43">
        <f>+'West Central'!J12</f>
        <v>156819.89910237631</v>
      </c>
      <c r="J13" s="43">
        <f>+'West Central'!K12</f>
        <v>205783.65777817485</v>
      </c>
      <c r="K13" s="43">
        <f t="shared" si="0"/>
        <v>351102.48710918706</v>
      </c>
      <c r="L13" s="44">
        <f t="shared" si="1"/>
        <v>513365.71811956336</v>
      </c>
      <c r="M13" s="45">
        <f t="shared" si="2"/>
        <v>673653.50862518442</v>
      </c>
      <c r="Q13" s="86">
        <v>963495.70644198614</v>
      </c>
    </row>
    <row r="14" spans="1:17" x14ac:dyDescent="0.3">
      <c r="A14" s="78">
        <v>2034</v>
      </c>
      <c r="B14" s="43">
        <f>+'Northwest Cost Calculation'!I13</f>
        <v>307692.32687542442</v>
      </c>
      <c r="C14" s="43">
        <f>+'Northwest Cost Calculation'!J13</f>
        <v>451563.84185112157</v>
      </c>
      <c r="D14" s="43">
        <f>+'Northwest Cost Calculation'!K13</f>
        <v>594027.12395790103</v>
      </c>
      <c r="E14" s="43">
        <f>+'Southwest Cost Calculation'!I13</f>
        <v>26286.912037988972</v>
      </c>
      <c r="F14" s="43">
        <f>+'Southwest Cost Calculation'!J13</f>
        <v>38578.209313236141</v>
      </c>
      <c r="G14" s="43">
        <f>+'Southwest Cost Calculation'!K13</f>
        <v>50749.197791932675</v>
      </c>
      <c r="H14" s="43">
        <f>+'West Central'!I13</f>
        <v>108755.65568658184</v>
      </c>
      <c r="I14" s="43">
        <f>+'West Central'!J13</f>
        <v>159607.88559005543</v>
      </c>
      <c r="J14" s="43">
        <f>+'West Central'!K13</f>
        <v>209962.36733525089</v>
      </c>
      <c r="K14" s="43">
        <f t="shared" si="0"/>
        <v>442734.89459999523</v>
      </c>
      <c r="L14" s="44">
        <f t="shared" si="1"/>
        <v>649749.93675441318</v>
      </c>
      <c r="M14" s="45">
        <f t="shared" si="2"/>
        <v>854738.68908508448</v>
      </c>
      <c r="Q14" s="86">
        <v>3429492.3270762651</v>
      </c>
    </row>
    <row r="15" spans="1:17" x14ac:dyDescent="0.3">
      <c r="A15" s="78">
        <v>2035</v>
      </c>
      <c r="B15" s="43">
        <f>+'Northwest Cost Calculation'!I14</f>
        <v>303689.97556681419</v>
      </c>
      <c r="C15" s="43">
        <f>+'Northwest Cost Calculation'!J14</f>
        <v>447777.24080922216</v>
      </c>
      <c r="D15" s="43">
        <f>+'Northwest Cost Calculation'!K14</f>
        <v>590714.56130732503</v>
      </c>
      <c r="E15" s="43">
        <f>+'Southwest Cost Calculation'!I14</f>
        <v>25944.981324724344</v>
      </c>
      <c r="F15" s="43">
        <f>+'Southwest Cost Calculation'!J14</f>
        <v>38254.710675742761</v>
      </c>
      <c r="G15" s="43">
        <f>+'Southwest Cost Calculation'!K14</f>
        <v>50466.197419774304</v>
      </c>
      <c r="H15" s="43">
        <f>+'West Central'!I14</f>
        <v>107341.00116699682</v>
      </c>
      <c r="I15" s="43">
        <f>+'West Central'!J14</f>
        <v>158269.48926630832</v>
      </c>
      <c r="J15" s="43">
        <f>+'West Central'!K14</f>
        <v>208791.52265828196</v>
      </c>
      <c r="K15" s="43">
        <f t="shared" si="0"/>
        <v>436975.95805853535</v>
      </c>
      <c r="L15" s="44">
        <f t="shared" si="1"/>
        <v>644301.44075127319</v>
      </c>
      <c r="M15" s="45">
        <f t="shared" si="2"/>
        <v>849972.28138538124</v>
      </c>
    </row>
    <row r="16" spans="1:17" x14ac:dyDescent="0.3">
      <c r="A16" s="78">
        <v>2036</v>
      </c>
      <c r="B16" s="43">
        <f>+'Northwest Cost Calculation'!I15</f>
        <v>211508.8254019469</v>
      </c>
      <c r="C16" s="43">
        <f>+'Northwest Cost Calculation'!J15</f>
        <v>313233.5782025964</v>
      </c>
      <c r="D16" s="43">
        <f>+'Northwest Cost Calculation'!K15</f>
        <v>414304.1582340232</v>
      </c>
      <c r="E16" s="43">
        <f>+'Southwest Cost Calculation'!I15</f>
        <v>8048.9392777632384</v>
      </c>
      <c r="F16" s="43">
        <f>+'Southwest Cost Calculation'!J15</f>
        <v>11920.060763034213</v>
      </c>
      <c r="G16" s="43">
        <f>+'Southwest Cost Calculation'!K15</f>
        <v>15766.287793491618</v>
      </c>
      <c r="H16" s="43">
        <f>+'West Central'!I15</f>
        <v>104094.3957582424</v>
      </c>
      <c r="I16" s="43">
        <f>+'West Central'!J15</f>
        <v>154158.39028101054</v>
      </c>
      <c r="J16" s="43">
        <f>+'West Central'!K15</f>
        <v>203900.43266299053</v>
      </c>
      <c r="K16" s="43">
        <f t="shared" si="0"/>
        <v>323652.16043795255</v>
      </c>
      <c r="L16" s="44">
        <f t="shared" si="1"/>
        <v>479312.02924664115</v>
      </c>
      <c r="M16" s="45">
        <f t="shared" si="2"/>
        <v>633970.8786905054</v>
      </c>
    </row>
    <row r="17" spans="1:13" ht="16.2" thickBot="1" x14ac:dyDescent="0.35">
      <c r="A17" s="79">
        <v>2037</v>
      </c>
      <c r="B17" s="43">
        <f>+'Northwest Cost Calculation'!I16</f>
        <v>208053.11110913882</v>
      </c>
      <c r="C17" s="43">
        <f>+'Northwest Cost Calculation'!J16</f>
        <v>312079.66666370817</v>
      </c>
      <c r="D17" s="43">
        <f>+'Northwest Cost Calculation'!K16</f>
        <v>416106.22221827763</v>
      </c>
      <c r="E17" s="43">
        <f>+'Southwest Cost Calculation'!I16</f>
        <v>7917.4325453550191</v>
      </c>
      <c r="F17" s="43">
        <f>+'Southwest Cost Calculation'!J16</f>
        <v>11876.148818032529</v>
      </c>
      <c r="G17" s="43">
        <f>+'Southwest Cost Calculation'!K16</f>
        <v>15834.865090710038</v>
      </c>
      <c r="H17" s="43">
        <f>+'West Central'!I16</f>
        <v>102393.6606208817</v>
      </c>
      <c r="I17" s="43">
        <f>+'West Central'!J16</f>
        <v>153590.49093132254</v>
      </c>
      <c r="J17" s="43">
        <f>+'West Central'!K16</f>
        <v>204787.32124176339</v>
      </c>
      <c r="K17" s="46">
        <f t="shared" si="0"/>
        <v>318364.20427537552</v>
      </c>
      <c r="L17" s="47">
        <f t="shared" si="1"/>
        <v>477546.3064130632</v>
      </c>
      <c r="M17" s="48">
        <f t="shared" si="2"/>
        <v>636728.40855075105</v>
      </c>
    </row>
    <row r="18" spans="1:13" ht="16.2" thickBot="1" x14ac:dyDescent="0.35">
      <c r="B18" s="49">
        <f t="shared" ref="B18:I18" si="3">SUM(B3:B17)</f>
        <v>2312920.8023579274</v>
      </c>
      <c r="C18" s="50">
        <f t="shared" si="3"/>
        <v>3485864.6276111361</v>
      </c>
      <c r="D18" s="51">
        <f t="shared" si="3"/>
        <v>4636763.0010702955</v>
      </c>
      <c r="E18" s="49">
        <f>SUM(E3:E17)</f>
        <v>153075.81827635106</v>
      </c>
      <c r="F18" s="50">
        <f t="shared" si="3"/>
        <v>231358.46348984595</v>
      </c>
      <c r="G18" s="51">
        <f t="shared" si="3"/>
        <v>308116.43096413859</v>
      </c>
      <c r="H18" s="49">
        <f t="shared" si="3"/>
        <v>963495.70644198614</v>
      </c>
      <c r="I18" s="50">
        <f t="shared" si="3"/>
        <v>1448746.742019193</v>
      </c>
      <c r="J18" s="51">
        <f>SUM(J3:J17)</f>
        <v>1925467.7222640519</v>
      </c>
      <c r="K18" s="52">
        <f>SUM(K3:K17)</f>
        <v>3429492.3270762651</v>
      </c>
      <c r="L18" s="53">
        <f t="shared" ref="L18:M18" si="4">SUM(L3:L17)</f>
        <v>5165969.8331201747</v>
      </c>
      <c r="M18" s="54">
        <f t="shared" si="4"/>
        <v>6870347.1542984853</v>
      </c>
    </row>
    <row r="22" spans="1:13" ht="78" x14ac:dyDescent="0.3">
      <c r="D22" s="36" t="s">
        <v>63</v>
      </c>
      <c r="E22" s="35" t="s">
        <v>70</v>
      </c>
      <c r="F22" s="35" t="s">
        <v>60</v>
      </c>
      <c r="G22" s="35" t="s">
        <v>61</v>
      </c>
      <c r="H22" s="35" t="s">
        <v>62</v>
      </c>
    </row>
    <row r="23" spans="1:13" x14ac:dyDescent="0.3">
      <c r="D23" s="36" t="s">
        <v>57</v>
      </c>
      <c r="E23" s="42">
        <f>+F34</f>
        <v>15863</v>
      </c>
      <c r="F23" s="44">
        <f>+B18</f>
        <v>2312920.8023579274</v>
      </c>
      <c r="G23" s="44">
        <f>+C18</f>
        <v>3485864.6276111361</v>
      </c>
      <c r="H23" s="44">
        <f>+D18</f>
        <v>4636763.0010702955</v>
      </c>
    </row>
    <row r="24" spans="1:13" x14ac:dyDescent="0.3">
      <c r="D24" s="36" t="s">
        <v>58</v>
      </c>
      <c r="E24" s="42">
        <f>+F37</f>
        <v>1887</v>
      </c>
      <c r="F24" s="44">
        <f>+E18</f>
        <v>153075.81827635106</v>
      </c>
      <c r="G24" s="44">
        <f>+F18</f>
        <v>231358.46348984595</v>
      </c>
      <c r="H24" s="44">
        <f>+G18</f>
        <v>308116.43096413859</v>
      </c>
    </row>
    <row r="25" spans="1:13" x14ac:dyDescent="0.3">
      <c r="D25" s="36" t="s">
        <v>59</v>
      </c>
      <c r="E25" s="42">
        <f>+F38</f>
        <v>7807</v>
      </c>
      <c r="F25" s="44">
        <f>+H18</f>
        <v>963495.70644198614</v>
      </c>
      <c r="G25" s="44">
        <f>+I18</f>
        <v>1448746.742019193</v>
      </c>
      <c r="H25" s="44">
        <f>+J18</f>
        <v>1925467.7222640519</v>
      </c>
    </row>
    <row r="26" spans="1:13" x14ac:dyDescent="0.3">
      <c r="D26" s="36" t="s">
        <v>23</v>
      </c>
      <c r="E26" s="42">
        <f>SUM(E23:E25)</f>
        <v>25557</v>
      </c>
      <c r="F26" s="44">
        <f>SUM(F23:F25)</f>
        <v>3429492.3270762647</v>
      </c>
      <c r="G26" s="44">
        <f t="shared" ref="G26:H26" si="5">SUM(G23:G25)</f>
        <v>5165969.8331201747</v>
      </c>
      <c r="H26" s="44">
        <f t="shared" si="5"/>
        <v>6870347.1542984862</v>
      </c>
    </row>
    <row r="31" spans="1:13" ht="16.2" thickBot="1" x14ac:dyDescent="0.35"/>
    <row r="32" spans="1:13" ht="31.8" thickBot="1" x14ac:dyDescent="0.35">
      <c r="E32" s="55" t="s">
        <v>63</v>
      </c>
      <c r="F32" s="56" t="s">
        <v>64</v>
      </c>
      <c r="G32" s="56" t="s">
        <v>65</v>
      </c>
    </row>
    <row r="33" spans="5:7" ht="31.8" thickBot="1" x14ac:dyDescent="0.35">
      <c r="E33" s="57" t="s">
        <v>66</v>
      </c>
      <c r="F33" s="58">
        <v>1</v>
      </c>
      <c r="G33" s="59">
        <v>0</v>
      </c>
    </row>
    <row r="34" spans="5:7" ht="31.8" thickBot="1" x14ac:dyDescent="0.35">
      <c r="E34" s="60" t="s">
        <v>57</v>
      </c>
      <c r="F34" s="61">
        <v>15863</v>
      </c>
      <c r="G34" s="62">
        <v>0.62</v>
      </c>
    </row>
    <row r="35" spans="5:7" ht="31.8" thickBot="1" x14ac:dyDescent="0.35">
      <c r="E35" s="57" t="s">
        <v>67</v>
      </c>
      <c r="F35" s="58">
        <v>5</v>
      </c>
      <c r="G35" s="59">
        <v>0</v>
      </c>
    </row>
    <row r="36" spans="5:7" ht="31.8" thickBot="1" x14ac:dyDescent="0.35">
      <c r="E36" s="60" t="s">
        <v>68</v>
      </c>
      <c r="F36" s="61">
        <v>4</v>
      </c>
      <c r="G36" s="62">
        <v>0</v>
      </c>
    </row>
    <row r="37" spans="5:7" ht="31.8" thickBot="1" x14ac:dyDescent="0.35">
      <c r="E37" s="57" t="s">
        <v>58</v>
      </c>
      <c r="F37" s="58">
        <v>1887</v>
      </c>
      <c r="G37" s="59">
        <v>7.3999999999999996E-2</v>
      </c>
    </row>
    <row r="38" spans="5:7" ht="31.8" thickBot="1" x14ac:dyDescent="0.35">
      <c r="E38" s="60" t="s">
        <v>69</v>
      </c>
      <c r="F38" s="61">
        <v>7807</v>
      </c>
      <c r="G38" s="62">
        <v>0.30499999999999999</v>
      </c>
    </row>
    <row r="39" spans="5:7" ht="16.2" thickBot="1" x14ac:dyDescent="0.35">
      <c r="E39" s="57" t="s">
        <v>23</v>
      </c>
      <c r="F39" s="58">
        <v>25567</v>
      </c>
      <c r="G39" s="59">
        <v>1</v>
      </c>
    </row>
  </sheetData>
  <mergeCells count="4">
    <mergeCell ref="B1:D1"/>
    <mergeCell ref="E1:G1"/>
    <mergeCell ref="H1:J1"/>
    <mergeCell ref="K1:M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4EC58-9700-400C-9C4B-FEA1F3E3966E}">
  <dimension ref="A1:H13"/>
  <sheetViews>
    <sheetView topLeftCell="A4" workbookViewId="0"/>
  </sheetViews>
  <sheetFormatPr defaultRowHeight="14.4" x14ac:dyDescent="0.3"/>
  <cols>
    <col min="2" max="2" width="52.5546875" bestFit="1" customWidth="1"/>
    <col min="5" max="5" width="11.21875" bestFit="1" customWidth="1"/>
    <col min="6" max="6" width="14" bestFit="1" customWidth="1"/>
    <col min="7" max="7" width="11.33203125" customWidth="1"/>
    <col min="8" max="8" width="23.33203125" customWidth="1"/>
  </cols>
  <sheetData>
    <row r="1" spans="1:8" ht="40.200000000000003" x14ac:dyDescent="0.3">
      <c r="A1" s="2" t="s">
        <v>1</v>
      </c>
      <c r="B1" s="3" t="s">
        <v>2</v>
      </c>
      <c r="C1" s="3" t="s">
        <v>3</v>
      </c>
      <c r="D1" s="3" t="s">
        <v>0</v>
      </c>
      <c r="E1" s="3" t="s">
        <v>4</v>
      </c>
      <c r="F1" s="3" t="s">
        <v>5</v>
      </c>
      <c r="G1" s="4" t="s">
        <v>6</v>
      </c>
      <c r="H1" s="5" t="s">
        <v>7</v>
      </c>
    </row>
    <row r="2" spans="1:8" ht="27" x14ac:dyDescent="0.3">
      <c r="A2" s="6">
        <v>1</v>
      </c>
      <c r="B2" s="7" t="s">
        <v>8</v>
      </c>
      <c r="C2" s="8" t="s">
        <v>9</v>
      </c>
      <c r="D2" s="8">
        <v>2011</v>
      </c>
      <c r="E2" s="9">
        <v>50000</v>
      </c>
      <c r="F2" s="10">
        <f>E2/(1+0.05)^(D2-2022)</f>
        <v>85516.967905815691</v>
      </c>
      <c r="G2" s="11">
        <v>0.5</v>
      </c>
      <c r="H2" s="10">
        <f>+G2*F2</f>
        <v>42758.483952907845</v>
      </c>
    </row>
    <row r="3" spans="1:8" x14ac:dyDescent="0.3">
      <c r="A3" s="6">
        <v>2</v>
      </c>
      <c r="B3" s="7" t="s">
        <v>10</v>
      </c>
      <c r="C3" s="8" t="s">
        <v>9</v>
      </c>
      <c r="D3" s="8">
        <v>2012</v>
      </c>
      <c r="E3" s="9">
        <v>2000000</v>
      </c>
      <c r="F3" s="10">
        <f t="shared" ref="F3:F10" si="0">E3/(1+0.05)^(D3-2022)</f>
        <v>3257789.2535548829</v>
      </c>
      <c r="G3" s="11">
        <v>0.1</v>
      </c>
      <c r="H3" s="10">
        <f t="shared" ref="H3:H9" si="1">+G3*F3</f>
        <v>325778.92535548832</v>
      </c>
    </row>
    <row r="4" spans="1:8" ht="27" x14ac:dyDescent="0.3">
      <c r="A4" s="6">
        <v>3</v>
      </c>
      <c r="B4" s="7" t="s">
        <v>11</v>
      </c>
      <c r="C4" s="8" t="s">
        <v>9</v>
      </c>
      <c r="D4" s="8">
        <v>2012</v>
      </c>
      <c r="E4" s="9">
        <v>50000</v>
      </c>
      <c r="F4" s="10">
        <f t="shared" si="0"/>
        <v>81444.73133887208</v>
      </c>
      <c r="G4" s="11">
        <v>0.1</v>
      </c>
      <c r="H4" s="10">
        <f t="shared" si="1"/>
        <v>8144.473133887208</v>
      </c>
    </row>
    <row r="5" spans="1:8" ht="27" x14ac:dyDescent="0.3">
      <c r="A5" s="6">
        <v>4</v>
      </c>
      <c r="B5" s="7" t="s">
        <v>12</v>
      </c>
      <c r="C5" s="8" t="s">
        <v>9</v>
      </c>
      <c r="D5" s="8">
        <v>2012</v>
      </c>
      <c r="E5" s="9">
        <v>625000</v>
      </c>
      <c r="F5" s="10">
        <f t="shared" si="0"/>
        <v>1018059.141735901</v>
      </c>
      <c r="G5" s="11">
        <v>0.45</v>
      </c>
      <c r="H5" s="10">
        <f t="shared" si="1"/>
        <v>458126.61378115544</v>
      </c>
    </row>
    <row r="6" spans="1:8" ht="27" x14ac:dyDescent="0.3">
      <c r="A6" s="6">
        <v>5</v>
      </c>
      <c r="B6" s="7" t="s">
        <v>13</v>
      </c>
      <c r="C6" s="8" t="s">
        <v>9</v>
      </c>
      <c r="D6" s="8">
        <v>2019</v>
      </c>
      <c r="E6" s="9">
        <v>50000</v>
      </c>
      <c r="F6" s="10">
        <f t="shared" si="0"/>
        <v>57881.250000000007</v>
      </c>
      <c r="G6" s="11">
        <v>0.5</v>
      </c>
      <c r="H6" s="10">
        <f t="shared" si="1"/>
        <v>28940.625000000004</v>
      </c>
    </row>
    <row r="7" spans="1:8" ht="40.200000000000003" x14ac:dyDescent="0.3">
      <c r="A7" s="6">
        <v>6</v>
      </c>
      <c r="B7" s="12" t="s">
        <v>14</v>
      </c>
      <c r="C7" s="12" t="s">
        <v>15</v>
      </c>
      <c r="D7" s="8">
        <v>2022</v>
      </c>
      <c r="E7" s="9">
        <v>50000</v>
      </c>
      <c r="F7" s="10">
        <f t="shared" si="0"/>
        <v>50000</v>
      </c>
      <c r="G7" s="11">
        <v>1</v>
      </c>
      <c r="H7" s="10">
        <f t="shared" si="1"/>
        <v>50000</v>
      </c>
    </row>
    <row r="8" spans="1:8" ht="40.200000000000003" x14ac:dyDescent="0.3">
      <c r="A8" s="6">
        <v>7</v>
      </c>
      <c r="B8" s="12" t="s">
        <v>16</v>
      </c>
      <c r="C8" s="12" t="s">
        <v>15</v>
      </c>
      <c r="D8" s="8">
        <v>2022</v>
      </c>
      <c r="E8" s="9">
        <v>50000</v>
      </c>
      <c r="F8" s="10">
        <f t="shared" si="0"/>
        <v>50000</v>
      </c>
      <c r="G8" s="11">
        <v>0.5</v>
      </c>
      <c r="H8" s="10">
        <f t="shared" si="1"/>
        <v>25000</v>
      </c>
    </row>
    <row r="9" spans="1:8" ht="40.200000000000003" x14ac:dyDescent="0.3">
      <c r="A9" s="6">
        <v>8</v>
      </c>
      <c r="B9" s="12" t="s">
        <v>17</v>
      </c>
      <c r="C9" s="12" t="s">
        <v>15</v>
      </c>
      <c r="D9" s="8">
        <v>2022</v>
      </c>
      <c r="E9" s="9">
        <v>50000</v>
      </c>
      <c r="F9" s="10">
        <f t="shared" si="0"/>
        <v>50000</v>
      </c>
      <c r="G9" s="11">
        <v>0.5</v>
      </c>
      <c r="H9" s="10">
        <f t="shared" si="1"/>
        <v>25000</v>
      </c>
    </row>
    <row r="10" spans="1:8" ht="40.200000000000003" x14ac:dyDescent="0.3">
      <c r="A10" s="6">
        <v>9</v>
      </c>
      <c r="B10" s="12" t="s">
        <v>18</v>
      </c>
      <c r="C10" s="12" t="s">
        <v>15</v>
      </c>
      <c r="D10" s="8">
        <v>2022</v>
      </c>
      <c r="E10" s="13">
        <v>50000</v>
      </c>
      <c r="F10" s="10">
        <f t="shared" si="0"/>
        <v>50000</v>
      </c>
      <c r="G10" s="14">
        <v>0.1</v>
      </c>
      <c r="H10" s="10">
        <f>+G10*F10</f>
        <v>5000</v>
      </c>
    </row>
    <row r="11" spans="1:8" x14ac:dyDescent="0.3">
      <c r="E11" s="15"/>
      <c r="G11" s="16"/>
      <c r="H11" s="17">
        <f>SUM(H2:H10)</f>
        <v>968749.12122343876</v>
      </c>
    </row>
    <row r="12" spans="1:8" x14ac:dyDescent="0.3">
      <c r="E12" s="15"/>
      <c r="G12" s="16"/>
    </row>
    <row r="13" spans="1:8" x14ac:dyDescent="0.3">
      <c r="A13" s="2" t="s">
        <v>19</v>
      </c>
      <c r="B13" t="s">
        <v>20</v>
      </c>
      <c r="E13" s="15"/>
      <c r="G13" s="16"/>
    </row>
  </sheetData>
  <hyperlinks>
    <hyperlink ref="B6" r:id="rId1" display="https://portal.nifa.usda.gov/enterprise-search/cris_projects/1017196" xr:uid="{4AA2156E-6B37-429E-BC99-894E5D610AA6}"/>
    <hyperlink ref="B3" r:id="rId2" display="https://portal.nifa.usda.gov/enterprise-search/cris_projects/1004240" xr:uid="{7BEF3385-AF3B-4341-A5BC-511E0E6EEBFD}"/>
    <hyperlink ref="B4" r:id="rId3" display="https://portal.nifa.usda.gov/enterprise-search/cris_projects/1001516" xr:uid="{433C1D8A-2344-49FA-8359-5F2789F1FF42}"/>
    <hyperlink ref="B5" r:id="rId4" display="https://portal.nifa.usda.gov/enterprise-search/cris_projects/0222631" xr:uid="{16CEC505-C2B1-44AB-9D57-4D0F75F24D32}"/>
    <hyperlink ref="B2" r:id="rId5" display="https://portal.nifa.usda.gov/enterprise-search/cris_projects/0188490" xr:uid="{7BB79AA1-83B8-4530-8001-C1355F1732F3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57074-E590-4FA3-8312-7FC23FA8F25E}">
  <dimension ref="A1:O17"/>
  <sheetViews>
    <sheetView workbookViewId="0">
      <selection activeCell="K2" sqref="K2"/>
    </sheetView>
  </sheetViews>
  <sheetFormatPr defaultRowHeight="14.4" x14ac:dyDescent="0.3"/>
  <cols>
    <col min="3" max="5" width="9.77734375" bestFit="1" customWidth="1"/>
    <col min="8" max="8" width="11.21875" bestFit="1" customWidth="1"/>
  </cols>
  <sheetData>
    <row r="1" spans="1:15" ht="105.6" x14ac:dyDescent="0.3">
      <c r="A1" s="18" t="s">
        <v>0</v>
      </c>
      <c r="B1" s="18" t="s">
        <v>21</v>
      </c>
      <c r="C1" s="18" t="s">
        <v>22</v>
      </c>
      <c r="D1" s="18" t="s">
        <v>23</v>
      </c>
      <c r="E1" s="18" t="s">
        <v>5</v>
      </c>
      <c r="F1" s="18" t="s">
        <v>24</v>
      </c>
      <c r="G1" s="18" t="s">
        <v>25</v>
      </c>
      <c r="H1" s="18" t="s">
        <v>26</v>
      </c>
    </row>
    <row r="2" spans="1:15" x14ac:dyDescent="0.3">
      <c r="A2" s="19">
        <v>2023</v>
      </c>
      <c r="B2" s="20">
        <v>7</v>
      </c>
      <c r="C2" s="21">
        <v>70000</v>
      </c>
      <c r="D2" s="21">
        <f>+C2*B2</f>
        <v>490000</v>
      </c>
      <c r="E2" s="21">
        <f>+D2/((1+0.05)^(A2-2022))</f>
        <v>466666.66666666663</v>
      </c>
      <c r="F2" s="22">
        <v>0.3</v>
      </c>
      <c r="G2" s="22">
        <v>0.5</v>
      </c>
      <c r="H2" s="21">
        <f>+E2*F2*G2</f>
        <v>69999.999999999985</v>
      </c>
    </row>
    <row r="3" spans="1:15" x14ac:dyDescent="0.3">
      <c r="A3" s="19">
        <v>2024</v>
      </c>
      <c r="B3" s="20">
        <v>7</v>
      </c>
      <c r="C3" s="21">
        <f>+C2*1.05</f>
        <v>73500</v>
      </c>
      <c r="D3" s="21">
        <f>+C3*B3</f>
        <v>514500</v>
      </c>
      <c r="E3" s="21">
        <f>+D3/((1+0.05)^(A3-2022))</f>
        <v>466666.66666666663</v>
      </c>
      <c r="F3" s="22">
        <v>0.3</v>
      </c>
      <c r="G3" s="22">
        <v>0.5</v>
      </c>
      <c r="H3" s="21">
        <f>+E3*F3*G3</f>
        <v>69999.999999999985</v>
      </c>
      <c r="M3" t="s">
        <v>0</v>
      </c>
      <c r="N3" t="s">
        <v>27</v>
      </c>
      <c r="O3" t="s">
        <v>28</v>
      </c>
    </row>
    <row r="4" spans="1:15" x14ac:dyDescent="0.3">
      <c r="A4" s="19">
        <v>2025</v>
      </c>
      <c r="B4" s="20">
        <v>7</v>
      </c>
      <c r="C4" s="21">
        <f t="shared" ref="C4:C11" si="0">+C3*1.05</f>
        <v>77175</v>
      </c>
      <c r="D4" s="21">
        <f t="shared" ref="D4:D12" si="1">+C4*B4</f>
        <v>540225</v>
      </c>
      <c r="E4" s="21">
        <f t="shared" ref="E4:E12" si="2">+D4/((1+0.05)^(A4-2022))</f>
        <v>466666.66666666663</v>
      </c>
      <c r="F4" s="22">
        <v>0.3</v>
      </c>
      <c r="G4" s="22">
        <v>0.5</v>
      </c>
      <c r="H4" s="21">
        <f t="shared" ref="H4:H11" si="3">+E4*F4*G4</f>
        <v>69999.999999999985</v>
      </c>
      <c r="M4">
        <v>2017</v>
      </c>
      <c r="N4" t="s">
        <v>29</v>
      </c>
      <c r="O4" s="23">
        <v>20228</v>
      </c>
    </row>
    <row r="5" spans="1:15" x14ac:dyDescent="0.3">
      <c r="A5" s="19">
        <v>2026</v>
      </c>
      <c r="B5" s="20">
        <v>7</v>
      </c>
      <c r="C5" s="21">
        <f t="shared" si="0"/>
        <v>81033.75</v>
      </c>
      <c r="D5" s="21">
        <f t="shared" si="1"/>
        <v>567236.25</v>
      </c>
      <c r="E5" s="21">
        <f t="shared" si="2"/>
        <v>466666.66666666669</v>
      </c>
      <c r="F5" s="22">
        <v>0.3</v>
      </c>
      <c r="G5" s="22">
        <v>0.5</v>
      </c>
      <c r="H5" s="21">
        <f t="shared" si="3"/>
        <v>70000</v>
      </c>
      <c r="M5">
        <v>2017</v>
      </c>
      <c r="N5" t="s">
        <v>30</v>
      </c>
      <c r="O5" s="23">
        <v>6701</v>
      </c>
    </row>
    <row r="6" spans="1:15" x14ac:dyDescent="0.3">
      <c r="A6" s="19">
        <v>2027</v>
      </c>
      <c r="B6" s="20">
        <v>7</v>
      </c>
      <c r="C6" s="21">
        <f t="shared" si="0"/>
        <v>85085.4375</v>
      </c>
      <c r="D6" s="21">
        <f t="shared" si="1"/>
        <v>595598.0625</v>
      </c>
      <c r="E6" s="21">
        <f t="shared" si="2"/>
        <v>466666.66666666663</v>
      </c>
      <c r="F6" s="22">
        <v>0.3</v>
      </c>
      <c r="G6" s="22">
        <v>0.5</v>
      </c>
      <c r="H6" s="21">
        <f t="shared" si="3"/>
        <v>69999.999999999985</v>
      </c>
      <c r="M6">
        <v>2017</v>
      </c>
      <c r="N6" t="s">
        <v>31</v>
      </c>
      <c r="O6" s="23">
        <v>26500</v>
      </c>
    </row>
    <row r="7" spans="1:15" x14ac:dyDescent="0.3">
      <c r="A7" s="19">
        <v>2028</v>
      </c>
      <c r="B7" s="20">
        <v>7</v>
      </c>
      <c r="C7" s="21">
        <f t="shared" si="0"/>
        <v>89339.709375000006</v>
      </c>
      <c r="D7" s="21">
        <f t="shared" si="1"/>
        <v>625377.96562500007</v>
      </c>
      <c r="E7" s="21">
        <f t="shared" si="2"/>
        <v>466666.66666666674</v>
      </c>
      <c r="F7" s="22">
        <v>0.3</v>
      </c>
      <c r="G7" s="22">
        <v>0.5</v>
      </c>
      <c r="H7" s="21">
        <f t="shared" si="3"/>
        <v>70000.000000000015</v>
      </c>
      <c r="M7">
        <v>2017</v>
      </c>
      <c r="N7" t="s">
        <v>32</v>
      </c>
      <c r="O7">
        <v>410</v>
      </c>
    </row>
    <row r="8" spans="1:15" x14ac:dyDescent="0.3">
      <c r="A8" s="19">
        <v>2029</v>
      </c>
      <c r="B8" s="20">
        <v>7</v>
      </c>
      <c r="C8" s="21">
        <f t="shared" si="0"/>
        <v>93806.69484375001</v>
      </c>
      <c r="D8" s="21">
        <f t="shared" si="1"/>
        <v>656646.8639062501</v>
      </c>
      <c r="E8" s="21">
        <f t="shared" si="2"/>
        <v>466666.66666666669</v>
      </c>
      <c r="F8" s="22">
        <v>0.3</v>
      </c>
      <c r="G8" s="22">
        <v>0.5</v>
      </c>
      <c r="H8" s="21">
        <f t="shared" si="3"/>
        <v>70000</v>
      </c>
      <c r="M8">
        <v>2017</v>
      </c>
      <c r="N8" t="s">
        <v>33</v>
      </c>
      <c r="O8">
        <v>738</v>
      </c>
    </row>
    <row r="9" spans="1:15" x14ac:dyDescent="0.3">
      <c r="A9" s="19">
        <v>2030</v>
      </c>
      <c r="B9" s="20">
        <v>7</v>
      </c>
      <c r="C9" s="21">
        <f t="shared" si="0"/>
        <v>98497.029585937518</v>
      </c>
      <c r="D9" s="21">
        <f t="shared" si="1"/>
        <v>689479.20710156264</v>
      </c>
      <c r="E9" s="21">
        <f t="shared" si="2"/>
        <v>466666.66666666674</v>
      </c>
      <c r="F9" s="22">
        <v>0.3</v>
      </c>
      <c r="G9" s="22">
        <v>0.5</v>
      </c>
      <c r="H9" s="21">
        <f t="shared" si="3"/>
        <v>70000.000000000015</v>
      </c>
      <c r="O9" s="23">
        <f>SUM(O4:O8)</f>
        <v>54577</v>
      </c>
    </row>
    <row r="10" spans="1:15" x14ac:dyDescent="0.3">
      <c r="A10" s="19">
        <v>2031</v>
      </c>
      <c r="B10" s="20">
        <v>7</v>
      </c>
      <c r="C10" s="21">
        <f t="shared" si="0"/>
        <v>103421.8810652344</v>
      </c>
      <c r="D10" s="21">
        <f t="shared" si="1"/>
        <v>723953.16745664075</v>
      </c>
      <c r="E10" s="21">
        <f t="shared" si="2"/>
        <v>466666.66666666669</v>
      </c>
      <c r="F10" s="22">
        <v>0.3</v>
      </c>
      <c r="G10" s="22">
        <v>0.5</v>
      </c>
      <c r="H10" s="21">
        <f t="shared" si="3"/>
        <v>70000</v>
      </c>
      <c r="O10" s="16">
        <f>+O6/O9</f>
        <v>0.48555252212470457</v>
      </c>
    </row>
    <row r="11" spans="1:15" x14ac:dyDescent="0.3">
      <c r="A11" s="19">
        <v>2032</v>
      </c>
      <c r="B11" s="20">
        <v>7</v>
      </c>
      <c r="C11" s="21">
        <f t="shared" si="0"/>
        <v>108592.97511849612</v>
      </c>
      <c r="D11" s="21">
        <f t="shared" si="1"/>
        <v>760150.82582947286</v>
      </c>
      <c r="E11" s="21">
        <f t="shared" si="2"/>
        <v>466666.66666666674</v>
      </c>
      <c r="F11" s="22">
        <v>0.3</v>
      </c>
      <c r="G11" s="22">
        <v>0.5</v>
      </c>
      <c r="H11" s="21">
        <f t="shared" si="3"/>
        <v>70000.000000000015</v>
      </c>
    </row>
    <row r="12" spans="1:15" x14ac:dyDescent="0.3">
      <c r="A12" s="19">
        <v>2033</v>
      </c>
      <c r="B12" s="20">
        <v>7</v>
      </c>
      <c r="C12" s="21">
        <f>+C11*1.05</f>
        <v>114022.62387442093</v>
      </c>
      <c r="D12" s="21">
        <f t="shared" si="1"/>
        <v>798158.36712094652</v>
      </c>
      <c r="E12" s="21">
        <f t="shared" si="2"/>
        <v>466666.66666666674</v>
      </c>
      <c r="F12" s="22">
        <v>0.3</v>
      </c>
      <c r="G12" s="22">
        <v>0.5</v>
      </c>
      <c r="H12" s="21">
        <f>+E12*F12*G12</f>
        <v>70000.000000000015</v>
      </c>
    </row>
    <row r="13" spans="1:15" x14ac:dyDescent="0.3">
      <c r="A13" s="19">
        <v>2034</v>
      </c>
      <c r="B13" s="20">
        <v>7</v>
      </c>
      <c r="C13" s="21">
        <f t="shared" ref="C13:C16" si="4">+C12*1.05</f>
        <v>119723.75506814198</v>
      </c>
      <c r="D13" s="21">
        <f t="shared" ref="D13:D16" si="5">+C13*B13</f>
        <v>838066.28547699389</v>
      </c>
      <c r="E13" s="21">
        <f t="shared" ref="E13:E16" si="6">+D13/((1+0.05)^(A13-2022))</f>
        <v>466666.6666666668</v>
      </c>
      <c r="F13" s="22">
        <v>0.3</v>
      </c>
      <c r="G13" s="22">
        <v>0.5</v>
      </c>
      <c r="H13" s="21">
        <f t="shared" ref="H13:H16" si="7">+E13*F13*G13</f>
        <v>70000.000000000015</v>
      </c>
    </row>
    <row r="14" spans="1:15" x14ac:dyDescent="0.3">
      <c r="A14" s="19">
        <v>2035</v>
      </c>
      <c r="B14" s="20">
        <v>7</v>
      </c>
      <c r="C14" s="21">
        <f t="shared" si="4"/>
        <v>125709.94282154909</v>
      </c>
      <c r="D14" s="21">
        <f t="shared" si="5"/>
        <v>879969.5997508436</v>
      </c>
      <c r="E14" s="21">
        <f t="shared" si="6"/>
        <v>466666.66666666674</v>
      </c>
      <c r="F14" s="22">
        <v>0.3</v>
      </c>
      <c r="G14" s="22">
        <v>0.5</v>
      </c>
      <c r="H14" s="21">
        <f t="shared" si="7"/>
        <v>70000.000000000015</v>
      </c>
    </row>
    <row r="15" spans="1:15" x14ac:dyDescent="0.3">
      <c r="A15" s="19">
        <v>2036</v>
      </c>
      <c r="B15" s="20">
        <v>7</v>
      </c>
      <c r="C15" s="21">
        <f t="shared" si="4"/>
        <v>131995.43996262655</v>
      </c>
      <c r="D15" s="21">
        <f t="shared" si="5"/>
        <v>923968.07973838586</v>
      </c>
      <c r="E15" s="21">
        <f t="shared" si="6"/>
        <v>466666.66666666686</v>
      </c>
      <c r="F15" s="22">
        <v>0.3</v>
      </c>
      <c r="G15" s="22">
        <v>0.5</v>
      </c>
      <c r="H15" s="21">
        <f t="shared" si="7"/>
        <v>70000.000000000029</v>
      </c>
    </row>
    <row r="16" spans="1:15" x14ac:dyDescent="0.3">
      <c r="A16" s="19">
        <v>2037</v>
      </c>
      <c r="B16" s="20">
        <v>7</v>
      </c>
      <c r="C16" s="21">
        <f t="shared" si="4"/>
        <v>138595.21196075788</v>
      </c>
      <c r="D16" s="21">
        <f t="shared" si="5"/>
        <v>970166.48372530518</v>
      </c>
      <c r="E16" s="21">
        <f t="shared" si="6"/>
        <v>466666.66666666674</v>
      </c>
      <c r="F16" s="22">
        <v>0.3</v>
      </c>
      <c r="G16" s="22">
        <v>0.5</v>
      </c>
      <c r="H16" s="21">
        <f t="shared" si="7"/>
        <v>70000.000000000015</v>
      </c>
    </row>
    <row r="17" spans="2:8" x14ac:dyDescent="0.3">
      <c r="B17" s="20"/>
      <c r="C17" s="21"/>
      <c r="D17" s="21"/>
      <c r="E17" s="21"/>
      <c r="F17" s="22"/>
      <c r="G17" s="22"/>
      <c r="H17" s="21">
        <f>SUM(H2:H16)</f>
        <v>1050000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E55413-0B3C-46AE-AF76-685D385E54B6}">
  <dimension ref="A1:I38"/>
  <sheetViews>
    <sheetView topLeftCell="A22" workbookViewId="0">
      <selection activeCell="R33" sqref="R33"/>
    </sheetView>
  </sheetViews>
  <sheetFormatPr defaultRowHeight="14.4" x14ac:dyDescent="0.3"/>
  <cols>
    <col min="2" max="2" width="11" customWidth="1"/>
    <col min="3" max="3" width="12.21875" customWidth="1"/>
    <col min="4" max="4" width="11" customWidth="1"/>
  </cols>
  <sheetData>
    <row r="1" spans="1:4" ht="62.4" x14ac:dyDescent="0.3">
      <c r="A1" s="35" t="s">
        <v>0</v>
      </c>
      <c r="B1" s="35" t="s">
        <v>34</v>
      </c>
      <c r="C1" s="35" t="s">
        <v>35</v>
      </c>
      <c r="D1" s="35" t="s">
        <v>36</v>
      </c>
    </row>
    <row r="2" spans="1:4" ht="15.6" x14ac:dyDescent="0.3">
      <c r="A2" s="36">
        <v>1</v>
      </c>
      <c r="B2" s="37">
        <v>0.01</v>
      </c>
      <c r="C2" s="37">
        <v>0.02</v>
      </c>
      <c r="D2" s="38">
        <v>0.03</v>
      </c>
    </row>
    <row r="3" spans="1:4" ht="15.6" x14ac:dyDescent="0.3">
      <c r="A3" s="36">
        <v>2</v>
      </c>
      <c r="B3" s="38">
        <f t="shared" ref="B3:B15" si="0">0.4/(1+EXP(-(-4.187+0.523365949*A3)))</f>
        <v>1.659058371384171E-2</v>
      </c>
      <c r="C3" s="38">
        <f>0.6/(1+EXP(-(-3.85+0.48*A3)))</f>
        <v>3.1590071061181738E-2</v>
      </c>
      <c r="D3" s="38">
        <f>0.8/(1+EXP(-(-3.71+0.46*A3)))</f>
        <v>4.6293564221088809E-2</v>
      </c>
    </row>
    <row r="4" spans="1:4" ht="15.6" x14ac:dyDescent="0.3">
      <c r="A4" s="36">
        <v>3</v>
      </c>
      <c r="B4" s="38">
        <f t="shared" si="0"/>
        <v>2.7223406647669757E-2</v>
      </c>
      <c r="C4" s="38">
        <f t="shared" ref="C4:C8" si="1">0.6/(1+EXP(-(-3.85+0.48*A4)))</f>
        <v>4.9447990876747672E-2</v>
      </c>
      <c r="D4" s="38">
        <f t="shared" ref="D4:D15" si="2">0.8/(1+EXP(-(-3.71+0.46*A4)))</f>
        <v>7.0934930603786639E-2</v>
      </c>
    </row>
    <row r="5" spans="1:4" ht="15.6" x14ac:dyDescent="0.3">
      <c r="A5" s="36">
        <v>4</v>
      </c>
      <c r="B5" s="38">
        <f t="shared" si="0"/>
        <v>4.3890662865978945E-2</v>
      </c>
      <c r="C5" s="38">
        <f t="shared" si="1"/>
        <v>7.6050348073284466E-2</v>
      </c>
      <c r="D5" s="38">
        <f t="shared" si="2"/>
        <v>0.10683337802656999</v>
      </c>
    </row>
    <row r="6" spans="1:4" ht="15.6" x14ac:dyDescent="0.3">
      <c r="A6" s="36">
        <v>5</v>
      </c>
      <c r="B6" s="38">
        <f t="shared" si="0"/>
        <v>6.8876848756818654E-2</v>
      </c>
      <c r="C6" s="38">
        <f t="shared" si="1"/>
        <v>0.11400093960918775</v>
      </c>
      <c r="D6" s="38">
        <f t="shared" si="2"/>
        <v>0.15698724509262335</v>
      </c>
    </row>
    <row r="7" spans="1:4" ht="15.6" x14ac:dyDescent="0.3">
      <c r="A7" s="36">
        <v>6</v>
      </c>
      <c r="B7" s="38">
        <f t="shared" si="0"/>
        <v>0.10393569351944917</v>
      </c>
      <c r="C7" s="38">
        <f t="shared" si="1"/>
        <v>0.16492830132610611</v>
      </c>
      <c r="D7" s="38">
        <f t="shared" si="2"/>
        <v>0.22310785758170959</v>
      </c>
    </row>
    <row r="8" spans="1:4" ht="15.6" x14ac:dyDescent="0.3">
      <c r="A8" s="36">
        <v>7</v>
      </c>
      <c r="B8" s="38">
        <f t="shared" si="0"/>
        <v>0.14881943318154645</v>
      </c>
      <c r="C8" s="38">
        <f t="shared" si="1"/>
        <v>0.22793614059414585</v>
      </c>
      <c r="D8" s="38">
        <f t="shared" si="2"/>
        <v>0.30391485412552793</v>
      </c>
    </row>
    <row r="9" spans="1:4" ht="15.6" x14ac:dyDescent="0.3">
      <c r="A9" s="36">
        <v>8</v>
      </c>
      <c r="B9" s="38">
        <f t="shared" si="0"/>
        <v>0.19999275920000315</v>
      </c>
      <c r="C9" s="38">
        <f>0.6/(1+EXP(-(-3.85+0.48*A9)))</f>
        <v>0.29850001249987496</v>
      </c>
      <c r="D9" s="38">
        <f t="shared" si="2"/>
        <v>0.39400044995950373</v>
      </c>
    </row>
    <row r="10" spans="1:4" ht="15.6" x14ac:dyDescent="0.3">
      <c r="A10" s="36">
        <v>9</v>
      </c>
      <c r="B10" s="38">
        <f t="shared" si="0"/>
        <v>0.25116703331353935</v>
      </c>
      <c r="C10" s="38">
        <f t="shared" ref="C10:C15" si="3">0.6/(1+EXP(-(-3.85+0.48*A10)))</f>
        <v>0.36923025383470931</v>
      </c>
      <c r="D10" s="38">
        <f t="shared" si="2"/>
        <v>0.48469893474540854</v>
      </c>
    </row>
    <row r="11" spans="1:4" ht="15.6" x14ac:dyDescent="0.3">
      <c r="A11" s="36">
        <v>10</v>
      </c>
      <c r="B11" s="38">
        <f t="shared" si="0"/>
        <v>0.29605316552528627</v>
      </c>
      <c r="C11" s="38">
        <f t="shared" si="3"/>
        <v>0.43266910681371784</v>
      </c>
      <c r="D11" s="38">
        <f t="shared" si="2"/>
        <v>0.56711213805289606</v>
      </c>
    </row>
    <row r="12" spans="1:4" ht="15.6" x14ac:dyDescent="0.3">
      <c r="A12" s="36">
        <v>11</v>
      </c>
      <c r="B12" s="38">
        <f t="shared" si="0"/>
        <v>0.33111489390658277</v>
      </c>
      <c r="C12" s="38">
        <f t="shared" si="3"/>
        <v>0.48414078946007005</v>
      </c>
      <c r="D12" s="38">
        <f t="shared" si="2"/>
        <v>0.63530370255924218</v>
      </c>
    </row>
    <row r="13" spans="1:4" ht="15.6" x14ac:dyDescent="0.3">
      <c r="A13" s="36">
        <v>12</v>
      </c>
      <c r="B13" s="38">
        <f t="shared" si="0"/>
        <v>0.35610367817430466</v>
      </c>
      <c r="C13" s="38">
        <f t="shared" si="3"/>
        <v>0.52261148871225849</v>
      </c>
      <c r="D13" s="38">
        <f t="shared" si="2"/>
        <v>0.68748949941269277</v>
      </c>
    </row>
    <row r="14" spans="1:4" ht="15.6" x14ac:dyDescent="0.3">
      <c r="A14" s="36">
        <v>13</v>
      </c>
      <c r="B14" s="38">
        <f t="shared" si="0"/>
        <v>0.37277291905050985</v>
      </c>
      <c r="C14" s="38">
        <f t="shared" si="3"/>
        <v>0.54963694086146508</v>
      </c>
      <c r="D14" s="38">
        <f t="shared" si="2"/>
        <v>0.72508943020981154</v>
      </c>
    </row>
    <row r="15" spans="1:4" ht="15.6" x14ac:dyDescent="0.3">
      <c r="A15" s="36">
        <v>14</v>
      </c>
      <c r="B15" s="38">
        <f t="shared" si="0"/>
        <v>0.38340711320185616</v>
      </c>
      <c r="C15" s="38">
        <f t="shared" si="3"/>
        <v>0.56780600879569676</v>
      </c>
      <c r="D15" s="38">
        <f t="shared" si="2"/>
        <v>0.75101906974407373</v>
      </c>
    </row>
    <row r="16" spans="1:4" ht="15.6" x14ac:dyDescent="0.3">
      <c r="A16" s="36">
        <v>15</v>
      </c>
      <c r="B16" s="39">
        <v>0.4</v>
      </c>
      <c r="C16" s="39">
        <v>0.6</v>
      </c>
      <c r="D16" s="39">
        <v>0.8</v>
      </c>
    </row>
    <row r="17" spans="1:9" ht="15.6" x14ac:dyDescent="0.3">
      <c r="A17" s="36" t="s">
        <v>37</v>
      </c>
      <c r="B17" s="40">
        <v>-4.1869275955767389</v>
      </c>
      <c r="C17" s="40">
        <v>-3.8483380914131127</v>
      </c>
      <c r="D17" s="40">
        <v>-3.7087921522120846</v>
      </c>
    </row>
    <row r="18" spans="1:9" ht="15.6" x14ac:dyDescent="0.3">
      <c r="A18" s="36" t="s">
        <v>38</v>
      </c>
      <c r="B18" s="40">
        <f>+B23</f>
        <v>0.52336594944709236</v>
      </c>
      <c r="C18" s="40">
        <v>0.48104226142663908</v>
      </c>
      <c r="D18" s="40">
        <v>0.46359901902651057</v>
      </c>
    </row>
    <row r="19" spans="1:9" ht="15.6" x14ac:dyDescent="0.3">
      <c r="A19" s="36" t="s">
        <v>39</v>
      </c>
      <c r="B19" s="40">
        <v>0.4</v>
      </c>
      <c r="C19" s="40">
        <v>0.6</v>
      </c>
      <c r="D19" s="40">
        <v>0.8</v>
      </c>
    </row>
    <row r="22" spans="1:9" x14ac:dyDescent="0.3">
      <c r="B22">
        <f>LN(B2/(B16-B2))</f>
        <v>-3.6635616461296463</v>
      </c>
      <c r="C22">
        <f t="shared" ref="C22:D22" si="4">LN(C2/(C16-C2))</f>
        <v>-3.3672958299864737</v>
      </c>
      <c r="D22">
        <f t="shared" si="4"/>
        <v>-3.2451931331855741</v>
      </c>
      <c r="E22" s="2"/>
      <c r="F22" s="2" t="s">
        <v>34</v>
      </c>
      <c r="G22" s="2" t="s">
        <v>35</v>
      </c>
      <c r="H22" s="2" t="s">
        <v>36</v>
      </c>
      <c r="I22" s="2"/>
    </row>
    <row r="23" spans="1:9" x14ac:dyDescent="0.3">
      <c r="B23" s="89">
        <f>+B22/-7</f>
        <v>0.52336594944709236</v>
      </c>
      <c r="C23" s="89">
        <f t="shared" ref="C23:D23" si="5">+C22/-7</f>
        <v>0.48104226142663908</v>
      </c>
      <c r="D23" s="89">
        <f t="shared" si="5"/>
        <v>0.46359901902651057</v>
      </c>
      <c r="E23" s="2">
        <v>2023</v>
      </c>
      <c r="F23" s="16">
        <f t="shared" ref="F23:F37" si="6">+B2</f>
        <v>0.01</v>
      </c>
      <c r="G23" s="16">
        <v>0.02</v>
      </c>
      <c r="H23" s="16">
        <v>0.03</v>
      </c>
    </row>
    <row r="24" spans="1:9" x14ac:dyDescent="0.3">
      <c r="B24" s="89">
        <f>+B23*-8</f>
        <v>-4.1869275955767389</v>
      </c>
      <c r="C24" s="89">
        <f t="shared" ref="C24:D24" si="7">+C23*-8</f>
        <v>-3.8483380914131127</v>
      </c>
      <c r="D24" s="89">
        <f t="shared" si="7"/>
        <v>-3.7087921522120846</v>
      </c>
      <c r="E24" s="2">
        <v>2024</v>
      </c>
      <c r="F24" s="16">
        <f t="shared" si="6"/>
        <v>1.659058371384171E-2</v>
      </c>
      <c r="G24" s="16">
        <v>3.1590071061181738E-2</v>
      </c>
      <c r="H24" s="16">
        <v>4.6293564221088809E-2</v>
      </c>
    </row>
    <row r="25" spans="1:9" x14ac:dyDescent="0.3">
      <c r="E25" s="2">
        <v>2025</v>
      </c>
      <c r="F25" s="16">
        <f t="shared" si="6"/>
        <v>2.7223406647669757E-2</v>
      </c>
      <c r="G25" s="16">
        <v>4.9447990876747672E-2</v>
      </c>
      <c r="H25" s="16">
        <v>7.0934930603786639E-2</v>
      </c>
    </row>
    <row r="26" spans="1:9" x14ac:dyDescent="0.3">
      <c r="E26" s="2">
        <v>2026</v>
      </c>
      <c r="F26" s="16">
        <f t="shared" si="6"/>
        <v>4.3890662865978945E-2</v>
      </c>
      <c r="G26" s="16">
        <v>7.6050348073284466E-2</v>
      </c>
      <c r="H26" s="16">
        <v>0.10683337802656999</v>
      </c>
    </row>
    <row r="27" spans="1:9" x14ac:dyDescent="0.3">
      <c r="E27" s="2">
        <v>2027</v>
      </c>
      <c r="F27" s="16">
        <f t="shared" si="6"/>
        <v>6.8876848756818654E-2</v>
      </c>
      <c r="G27" s="16">
        <v>0.11400093960918775</v>
      </c>
      <c r="H27" s="16">
        <v>0.15698724509262335</v>
      </c>
    </row>
    <row r="28" spans="1:9" x14ac:dyDescent="0.3">
      <c r="E28" s="2">
        <v>2028</v>
      </c>
      <c r="F28" s="16">
        <f t="shared" si="6"/>
        <v>0.10393569351944917</v>
      </c>
      <c r="G28" s="16">
        <v>0.16492830132610611</v>
      </c>
      <c r="H28" s="16">
        <v>0.22310785758170959</v>
      </c>
    </row>
    <row r="29" spans="1:9" x14ac:dyDescent="0.3">
      <c r="E29" s="2">
        <v>2029</v>
      </c>
      <c r="F29" s="16">
        <f t="shared" si="6"/>
        <v>0.14881943318154645</v>
      </c>
      <c r="G29" s="16">
        <v>0.22793614059414585</v>
      </c>
      <c r="H29" s="16">
        <v>0.30391485412552793</v>
      </c>
    </row>
    <row r="30" spans="1:9" x14ac:dyDescent="0.3">
      <c r="E30" s="2">
        <v>2030</v>
      </c>
      <c r="F30" s="16">
        <f t="shared" si="6"/>
        <v>0.19999275920000315</v>
      </c>
      <c r="G30" s="16">
        <v>0.29850001249987496</v>
      </c>
      <c r="H30" s="16">
        <v>0.39400044995950373</v>
      </c>
    </row>
    <row r="31" spans="1:9" x14ac:dyDescent="0.3">
      <c r="E31" s="2">
        <v>2031</v>
      </c>
      <c r="F31" s="16">
        <f t="shared" si="6"/>
        <v>0.25116703331353935</v>
      </c>
      <c r="G31" s="16">
        <v>0.36923025383470931</v>
      </c>
      <c r="H31" s="16">
        <v>0.48469893474540854</v>
      </c>
    </row>
    <row r="32" spans="1:9" x14ac:dyDescent="0.3">
      <c r="E32" s="2">
        <v>2032</v>
      </c>
      <c r="F32" s="16">
        <f t="shared" si="6"/>
        <v>0.29605316552528627</v>
      </c>
      <c r="G32" s="16">
        <v>0.43266910681371784</v>
      </c>
      <c r="H32" s="16">
        <v>0.56711213805289606</v>
      </c>
    </row>
    <row r="33" spans="5:8" x14ac:dyDescent="0.3">
      <c r="E33" s="2">
        <v>2033</v>
      </c>
      <c r="F33" s="16">
        <f t="shared" si="6"/>
        <v>0.33111489390658277</v>
      </c>
      <c r="G33" s="16">
        <v>0.48414078946007005</v>
      </c>
      <c r="H33" s="16">
        <v>0.63530370255924218</v>
      </c>
    </row>
    <row r="34" spans="5:8" x14ac:dyDescent="0.3">
      <c r="E34" s="2">
        <v>2034</v>
      </c>
      <c r="F34" s="16">
        <f t="shared" si="6"/>
        <v>0.35610367817430466</v>
      </c>
      <c r="G34" s="16">
        <v>0.52261148871225849</v>
      </c>
      <c r="H34" s="16">
        <v>0.68748949941269277</v>
      </c>
    </row>
    <row r="35" spans="5:8" x14ac:dyDescent="0.3">
      <c r="E35" s="2">
        <v>2035</v>
      </c>
      <c r="F35" s="16">
        <f t="shared" si="6"/>
        <v>0.37277291905050985</v>
      </c>
      <c r="G35" s="16">
        <v>0.54963694086146508</v>
      </c>
      <c r="H35" s="16">
        <v>0.72508943020981154</v>
      </c>
    </row>
    <row r="36" spans="5:8" x14ac:dyDescent="0.3">
      <c r="E36" s="2">
        <v>2036</v>
      </c>
      <c r="F36" s="16">
        <f t="shared" si="6"/>
        <v>0.38340711320185616</v>
      </c>
      <c r="G36" s="16">
        <v>0.56780600879569676</v>
      </c>
      <c r="H36" s="16">
        <v>0.75101906974407373</v>
      </c>
    </row>
    <row r="37" spans="5:8" x14ac:dyDescent="0.3">
      <c r="E37" s="2">
        <v>2037</v>
      </c>
      <c r="F37" s="16">
        <f t="shared" si="6"/>
        <v>0.4</v>
      </c>
      <c r="G37" s="16">
        <v>0.6</v>
      </c>
      <c r="H37" s="16">
        <v>0.8</v>
      </c>
    </row>
    <row r="38" spans="5:8" x14ac:dyDescent="0.3">
      <c r="F38" s="16">
        <v>0.4</v>
      </c>
      <c r="G38" s="16">
        <v>0.6</v>
      </c>
      <c r="H38" s="16">
        <v>0.8</v>
      </c>
    </row>
  </sheetData>
  <pageMargins left="0.7" right="0.7" top="0.75" bottom="0.75" header="0.3" footer="0.3"/>
  <pageSetup orientation="portrait" horizontalDpi="0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650937B147B044BF515BE18A7ADB5D" ma:contentTypeVersion="7" ma:contentTypeDescription="Create a new document." ma:contentTypeScope="" ma:versionID="a59d52a1efe9694c949567989ab1f848">
  <xsd:schema xmlns:xsd="http://www.w3.org/2001/XMLSchema" xmlns:xs="http://www.w3.org/2001/XMLSchema" xmlns:p="http://schemas.microsoft.com/office/2006/metadata/properties" xmlns:ns3="97654989-a9c9-4573-bf4e-3270d9f73d8c" xmlns:ns4="fed8b500-5244-4b0d-ae3d-792f6b478a15" targetNamespace="http://schemas.microsoft.com/office/2006/metadata/properties" ma:root="true" ma:fieldsID="cbe73ffa7cd5a2dc8200d80041d807fa" ns3:_="" ns4:_="">
    <xsd:import namespace="97654989-a9c9-4573-bf4e-3270d9f73d8c"/>
    <xsd:import namespace="fed8b500-5244-4b0d-ae3d-792f6b478a1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654989-a9c9-4573-bf4e-3270d9f73d8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8b500-5244-4b0d-ae3d-792f6b478a1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7F0D76D-F2F7-4958-9B4B-15B8B3B0CB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654989-a9c9-4573-bf4e-3270d9f73d8c"/>
    <ds:schemaRef ds:uri="fed8b500-5244-4b0d-ae3d-792f6b478a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653DDCC-00F2-4BC8-98C6-CA75A36D44B5}">
  <ds:schemaRefs>
    <ds:schemaRef ds:uri="97654989-a9c9-4573-bf4e-3270d9f73d8c"/>
    <ds:schemaRef ds:uri="http://schemas.microsoft.com/office/2006/documentManagement/types"/>
    <ds:schemaRef ds:uri="fed8b500-5244-4b0d-ae3d-792f6b478a15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2006/metadata/properties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309BD6E9-B57F-476D-9747-03C01ECCA87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GDD</vt:lpstr>
      <vt:lpstr>Tart Cherry Acres Forecast</vt:lpstr>
      <vt:lpstr>Northwest Cost Calculation</vt:lpstr>
      <vt:lpstr>Southwest Cost Calculation</vt:lpstr>
      <vt:lpstr>West Central</vt:lpstr>
      <vt:lpstr>State Wide Cost</vt:lpstr>
      <vt:lpstr>Research Cost</vt:lpstr>
      <vt:lpstr>Extension Cost</vt:lpstr>
      <vt:lpstr>Adoption Trajectory</vt:lpstr>
      <vt:lpstr>Net Benefits</vt:lpstr>
      <vt:lpstr>Net Benefits over time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dervis</dc:creator>
  <cp:lastModifiedBy>dervis</cp:lastModifiedBy>
  <dcterms:created xsi:type="dcterms:W3CDTF">2023-02-23T09:57:42Z</dcterms:created>
  <dcterms:modified xsi:type="dcterms:W3CDTF">2023-03-03T08:52:08Z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0x01010034650937B147B044BF515BE18A7ADB5D</vt:lpwstr>
  </property>
</Properties>
</file>